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90" tabRatio="666" activeTab="0"/>
  </bookViews>
  <sheets>
    <sheet name="必要経費概算（平成29年度分） " sheetId="1" r:id="rId1"/>
    <sheet name="必要経費概算（平成30年度分）" sheetId="2" r:id="rId2"/>
    <sheet name="必要経費概算（平成31年度分）" sheetId="3" r:id="rId3"/>
    <sheet name="年度別契約額と割合確認" sheetId="4" r:id="rId4"/>
  </sheets>
  <definedNames>
    <definedName name="_xlnm.Print_Titles" localSheetId="0">'必要経費概算（平成29年度分） '!$3:$3</definedName>
    <definedName name="_xlnm.Print_Titles" localSheetId="1">'必要経費概算（平成30年度分）'!$3:$3</definedName>
    <definedName name="_xlnm.Print_Titles" localSheetId="2">'必要経費概算（平成31年度分）'!$3:$3</definedName>
  </definedNames>
  <calcPr fullCalcOnLoad="1"/>
</workbook>
</file>

<file path=xl/comments4.xml><?xml version="1.0" encoding="utf-8"?>
<comments xmlns="http://schemas.openxmlformats.org/spreadsheetml/2006/main">
  <authors>
    <author>システム</author>
  </authors>
  <commentList>
    <comment ref="E21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<sst xmlns="http://schemas.openxmlformats.org/spreadsheetml/2006/main" count="992" uniqueCount="392">
  <si>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</si>
  <si>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</si>
  <si>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</si>
  <si>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</si>
  <si>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</si>
  <si>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</si>
  <si>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</si>
  <si>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</si>
  <si>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</si>
  <si>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</si>
  <si>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</si>
  <si>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</si>
  <si>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</si>
  <si>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</si>
  <si>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</si>
  <si>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</si>
  <si>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</si>
  <si>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</si>
  <si>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</si>
  <si>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・講師旅費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</si>
  <si>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</si>
  <si>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</si>
  <si>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</si>
  <si>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</si>
  <si>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</si>
  <si>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・ホームページ作成費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</si>
  <si>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</si>
  <si>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</si>
  <si>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</si>
  <si>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</si>
  <si>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</si>
  <si>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</si>
  <si>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＜＝「２事業費」の３０％以内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</si>
  <si>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</si>
  <si>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</si>
  <si>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</si>
  <si>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</si>
  <si>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</si>
  <si>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</si>
  <si>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</si>
  <si>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</si>
  <si>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</si>
  <si>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</si>
  <si>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</si>
  <si>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</si>
  <si>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②事業補助員人件費</t>
  </si>
  <si>
    <t>①事業推進員人件費(リーダー）</t>
  </si>
  <si>
    <t>講師との打合せ・舞鶴市旅費規程（4等級・大阪－舞鶴）</t>
  </si>
  <si>
    <t>募集チラシ印刷代、テキスト印刷代、ＤＭ発送費</t>
  </si>
  <si>
    <t>　・ドメイン・ＩＰアドレス取得初期費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</si>
  <si>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</si>
  <si>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</si>
  <si>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</si>
  <si>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</si>
  <si>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</si>
  <si>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</si>
  <si>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</si>
  <si>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</si>
  <si>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</si>
  <si>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</si>
  <si>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</si>
  <si>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</si>
  <si>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</si>
  <si>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</si>
  <si>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</si>
  <si>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</si>
  <si>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</si>
  <si>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</si>
  <si>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</si>
  <si>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</si>
  <si>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</si>
  <si>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</si>
  <si>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実践事業打合せ（町旅費規程日帰り）1名分2回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</si>
  <si>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</si>
  <si>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</si>
  <si>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</si>
  <si>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</si>
  <si>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</si>
  <si>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</si>
  <si>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</si>
  <si>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</si>
  <si>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</si>
  <si>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</si>
  <si>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</si>
  <si>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</si>
  <si>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実地研修1回×2期分</t>
  </si>
  <si>
    <t>　・企業謝金（研修先企業）</t>
  </si>
  <si>
    <t>15社×2期分</t>
  </si>
  <si>
    <t>座学4回×2期分</t>
  </si>
  <si>
    <t>　・ＰＣモバイル使用料</t>
  </si>
  <si>
    <t>　・ポータブルプリンタ1台</t>
  </si>
  <si>
    <t>プリンタ1台</t>
  </si>
  <si>
    <t>環境関連企業実地研修1回×2期分</t>
  </si>
  <si>
    <t>　・開発製品等資料</t>
  </si>
  <si>
    <t>　・会場施設料（マイク・プロジェクター一式・演台）</t>
  </si>
  <si>
    <t>350円×200部</t>
  </si>
  <si>
    <t>募集チラシ印刷代、ポスター印刷、新聞広告</t>
  </si>
  <si>
    <t>（１）基本人材レベルアップセミナー</t>
  </si>
  <si>
    <t>　・ＰＣ借料20台</t>
  </si>
  <si>
    <t>（２）営業人材レベルアップセミナー</t>
  </si>
  <si>
    <t>プリンタ2台×2期分</t>
  </si>
  <si>
    <t>（３）環境関連技術者等育成セミナー</t>
  </si>
  <si>
    <t>　・太陽光パネル製造現場視察研修</t>
  </si>
  <si>
    <t>　・視察訪問企業謝金</t>
  </si>
  <si>
    <t>　・ＰＣ借料１５台</t>
  </si>
  <si>
    <t>　・ポータブルプリンタ</t>
  </si>
  <si>
    <t>　・太陽光パネル製造基本教材等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</si>
  <si>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</si>
  <si>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</si>
  <si>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</si>
  <si>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</si>
  <si>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</si>
  <si>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</si>
  <si>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</si>
  <si>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</si>
  <si>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</si>
  <si>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</si>
  <si>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</si>
  <si>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</si>
  <si>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ロ　実践支援員</t>
  </si>
  <si>
    <t>イ　運営費等</t>
  </si>
  <si>
    <t>　・事務所借料</t>
  </si>
  <si>
    <t>　・事務所光熱水料</t>
  </si>
  <si>
    <t>30,000円×12月</t>
  </si>
  <si>
    <t>　・デジタルカメラリース代</t>
  </si>
  <si>
    <t>月額2,200円×一式</t>
  </si>
  <si>
    <t>　・事務用品借料（机4・椅子4）</t>
  </si>
  <si>
    <t>一式24，000円×12月</t>
  </si>
  <si>
    <t>ロ　事業費</t>
  </si>
  <si>
    <t>　・CAS+急速冷凍装置（バッチ式）リース料</t>
  </si>
  <si>
    <t>　・貯蔵保管機器リース</t>
  </si>
  <si>
    <t>飲食店空き店舗借料：月額90,000円×12月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</si>
  <si>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</si>
  <si>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</si>
  <si>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</si>
  <si>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</si>
  <si>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</si>
  <si>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</si>
  <si>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</si>
  <si>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</si>
  <si>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</si>
  <si>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</si>
  <si>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</si>
  <si>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</si>
  <si>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</si>
  <si>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　・アドバイザー謝金（10日以内／月）</t>
  </si>
  <si>
    <t>（２）事業費</t>
  </si>
  <si>
    <t>　・販路拡大調査旅費（東京・大阪2泊3日）</t>
  </si>
  <si>
    <t>東京・大阪各60000円×2名×年間2回</t>
  </si>
  <si>
    <t>＜＝「実践経費」の５０％以上が実践支援員経費</t>
  </si>
  <si>
    <t>＜＝「基本経費＋実践経費」の３０％以内</t>
  </si>
  <si>
    <t>＜＝「基本経費＋実践経費」の２０％以内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</si>
  <si>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</si>
  <si>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</si>
  <si>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</si>
  <si>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</si>
  <si>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</si>
  <si>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・オンライン企業間取引セミナー</t>
  </si>
  <si>
    <t>65，000円×9カ月</t>
  </si>
  <si>
    <t>飲食店空き店舗借料：月額90,000円×9カ月</t>
  </si>
  <si>
    <t>　④実践メニュー</t>
  </si>
  <si>
    <t>④のうち人件費相当分</t>
  </si>
  <si>
    <t>基本経費</t>
  </si>
  <si>
    <t>実践経費</t>
  </si>
  <si>
    <t>地元講師と東京講師が分担（東京講師6回）</t>
  </si>
  <si>
    <t>誘致予定企業のｴﾝｼﾞﾆｱ</t>
  </si>
  <si>
    <t>誘致予定企業のｴﾝｼﾞﾆｱ</t>
  </si>
  <si>
    <t>地元講師と東京講師が分担（東京講師12回）</t>
  </si>
  <si>
    <t>一式月額150，000円×12月</t>
  </si>
  <si>
    <t>1月あたり80㍑×140円</t>
  </si>
  <si>
    <t>町職員臨時職員級（嘱託職員含む平均額）1名</t>
  </si>
  <si>
    <t>平日（時間給×1.25倍）月15時間</t>
  </si>
  <si>
    <t>　⑤事務所関係</t>
  </si>
  <si>
    <t>プリンタ2台×3期分</t>
  </si>
  <si>
    <t>ﾊﾞｽ借上げ料×3期分</t>
  </si>
  <si>
    <t>20,000円×3期分</t>
  </si>
  <si>
    <t>座学6回×3期分（企業応対→企画プレゼン）</t>
  </si>
  <si>
    <t>地元講師と東京講師が分担（東京講師9回）</t>
  </si>
  <si>
    <t>＜＝「基本経費」が３０％以上</t>
  </si>
  <si>
    <t>(単位：千円)</t>
  </si>
  <si>
    <t>（20,000円×４ｈ）×8回</t>
  </si>
  <si>
    <t>6,800円×ＰＣ20台×2期分</t>
  </si>
  <si>
    <t>２ｈ×6,500円×座学6回×3期分</t>
  </si>
  <si>
    <t>6,800円×ＰＣ20台×3期分</t>
  </si>
  <si>
    <t>65,000円×9カ月</t>
  </si>
  <si>
    <t>一式24,000円×9カ月</t>
  </si>
  <si>
    <t>一式月額150,000円×9カ月</t>
  </si>
  <si>
    <t>840L保冷庫1台：月額26,000円×9カ月</t>
  </si>
  <si>
    <t>調理器具一式：月額70,000円×9カ月</t>
  </si>
  <si>
    <t>調味料一式：20,000円×4回</t>
  </si>
  <si>
    <t>1日20,000円×10日×9カ月</t>
  </si>
  <si>
    <t>1週間30,000円×3回</t>
  </si>
  <si>
    <t>65,000円×12月</t>
  </si>
  <si>
    <t>一式24,000円×12月</t>
  </si>
  <si>
    <t>一式月額150,000円×12月</t>
  </si>
  <si>
    <t>840L保冷庫1台：月額26,000円×12月</t>
  </si>
  <si>
    <t>調理器具一式：月額70,000円×12月</t>
  </si>
  <si>
    <t>1日20,000円×10日×12月</t>
  </si>
  <si>
    <t>東京・大阪各60,000円×2名×年間2回</t>
  </si>
  <si>
    <t>基本経費の事業費（①～③）は各年度「３」の１割以上（必須）</t>
  </si>
  <si>
    <t>250,000円×9カ月×0.05</t>
  </si>
  <si>
    <t>250,000円×9カ月×0.003</t>
  </si>
  <si>
    <t>300,000円×9カ月×0.05</t>
  </si>
  <si>
    <t>200,000円×9カ月×0.05</t>
  </si>
  <si>
    <t>160,000円×9カ月×0.05</t>
  </si>
  <si>
    <t>180,000円×9カ月×0.05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</si>
  <si>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</si>
  <si>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</si>
  <si>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</si>
  <si>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</si>
  <si>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</si>
  <si>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200,000円×12カ月×0.0015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</si>
  <si>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</si>
  <si>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</si>
  <si>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</si>
  <si>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</si>
  <si>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</si>
  <si>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160,000円×9カ月×0.003</t>
  </si>
  <si>
    <t>180,000円×9カ月×0.003</t>
  </si>
  <si>
    <t>300,000円×9カ月×0.003</t>
  </si>
  <si>
    <t>200,000円×9カ月×0.003</t>
  </si>
  <si>
    <t>（3ｈ×5,000円）×座学4回×2期分</t>
  </si>
  <si>
    <t>座学4回×2期分</t>
  </si>
  <si>
    <t>（２）環境産業分野総合セミナー</t>
  </si>
  <si>
    <t>（座学3回＋実地研修1回）×2期分</t>
  </si>
  <si>
    <t>（３）Ｅネットフロンティアセミナー</t>
  </si>
  <si>
    <t>座学5回×1期分</t>
  </si>
  <si>
    <t>6,800円×ＰＣ10台×1期分</t>
  </si>
  <si>
    <t>3,000円×ＰＣ10台×1期分</t>
  </si>
  <si>
    <t>10社×1期分</t>
  </si>
  <si>
    <t>（４）実践メニュー成果物公開セミナー</t>
  </si>
  <si>
    <t>（20,000円×２ｈ）×2回</t>
  </si>
  <si>
    <t>座学5回×2期分（課題資料作成の応用）</t>
  </si>
  <si>
    <t>２ｈ×6,500円×座学5回×2期分</t>
  </si>
  <si>
    <t>座学8回×3期分（誘致予定企業のｴﾝｼﾞﾆｱ）</t>
  </si>
  <si>
    <t>町職員主査級（概ね大卒７～８年目）相当1名</t>
  </si>
  <si>
    <t>平日（時間給×1.25倍）1名分×20h×9カ月</t>
  </si>
  <si>
    <t>支援員事務用PCリース料　月額6,000円×3台</t>
  </si>
  <si>
    <t>　・会場施設料（マイク・プロジェクター一式・演台）</t>
  </si>
  <si>
    <t>　・消耗品費（コピー用紙、事務用品）</t>
  </si>
  <si>
    <t>用紙代等、各種消耗品費</t>
  </si>
  <si>
    <t>座学8回×3期分（誘致予定企業のｴﾝｼﾞﾆｱ）</t>
  </si>
  <si>
    <t>平日（時間給×1.25倍）1名分×20h×12月</t>
  </si>
  <si>
    <t>　・事務用品借料（机3・椅子3）</t>
  </si>
  <si>
    <t>（３）Ｅネットフロンティアセミナー</t>
  </si>
  <si>
    <t>　・広報掲載費</t>
  </si>
  <si>
    <t>（20,000円×４ｈ）×5回</t>
  </si>
  <si>
    <t>　・販路拡大旅費（東京・大阪2泊3日）</t>
  </si>
  <si>
    <t>　・マーケティング調査旅費（東京・大阪2泊3日）</t>
  </si>
  <si>
    <t>　・試食会ブース賃借料</t>
  </si>
  <si>
    <t>30,000円×3回</t>
  </si>
  <si>
    <t>（座学3回＋実地研修1回）×3期分</t>
  </si>
  <si>
    <t>実地研修1回×3期分</t>
  </si>
  <si>
    <t>環境関連企業実地研修1回×3期分</t>
  </si>
  <si>
    <t>15社×3期分</t>
  </si>
  <si>
    <t>座学5回×2期分</t>
  </si>
  <si>
    <t>（20,000円×2ｈ）×4回</t>
  </si>
  <si>
    <t>町職員主事級（一般職員１～２年目相当）3名分</t>
  </si>
  <si>
    <t>平日（時間給×1.25倍）3名分×20h×9カ月</t>
  </si>
  <si>
    <t>町職員主事級（一般職員3年目相当）3名分</t>
  </si>
  <si>
    <t>平日（時間給×1.25倍）3名分×20h×12月</t>
  </si>
  <si>
    <t>町職員主事級（一般職員3年目相当）１名分</t>
  </si>
  <si>
    <t>平日（時間給×1.25倍）１名×月20時間</t>
  </si>
  <si>
    <t>町職員主事級（一般職員3年目相当）1名分</t>
  </si>
  <si>
    <t>平日（時間給×1.25倍）1名×月20時間</t>
  </si>
  <si>
    <t>町職員主事級（一般職員３～４年目）1名分</t>
  </si>
  <si>
    <t>平日（時間給×1.25倍）月20時間×1名分</t>
  </si>
  <si>
    <t>事業構想必要経費概算書（平成29年度分）</t>
  </si>
  <si>
    <t>事業構想必要経費概算書（平成30年度分）</t>
  </si>
  <si>
    <t>　・事業推進員子ども・子育て拠出金</t>
  </si>
  <si>
    <t>　・事業推進員厚生年金保険料（７月～８月）</t>
  </si>
  <si>
    <t>300,000円×9カ月×0.00002</t>
  </si>
  <si>
    <t>　・事業推進員厚生年金保険料（９月～３月）</t>
  </si>
  <si>
    <t>　・事業補助員子ども・子育て拠出金</t>
  </si>
  <si>
    <t>　・事業補助員厚生年金保険料（７月～８月）</t>
  </si>
  <si>
    <t>　・事業補助員厚生年金保険料（９月～３月）</t>
  </si>
  <si>
    <t>160,000円×9カ月×0.0079</t>
  </si>
  <si>
    <t>300,000円×9カ月×0.0079</t>
  </si>
  <si>
    <t>200,000円×9カ月×0.0079</t>
  </si>
  <si>
    <t>　・実践支援員厚生年金保険料（７月～８月）</t>
  </si>
  <si>
    <t>　・実践支援員子ども・子育て拠出金</t>
  </si>
  <si>
    <t>　・実践支援員厚生年金保険料（９月～３月）</t>
  </si>
  <si>
    <t>180,000円×9カ月×0.0079</t>
  </si>
  <si>
    <t>250,000円×9カ月×0.0079</t>
  </si>
  <si>
    <t>180,000円×12カ月×0.0079</t>
  </si>
  <si>
    <t>300,000円×12カ月×0.0079</t>
  </si>
  <si>
    <t>200,000円×12カ月×0.0079</t>
  </si>
  <si>
    <t>160,000円×12カ月×0.0079</t>
  </si>
  <si>
    <t>250,000円×12カ月×0.0079</t>
  </si>
  <si>
    <t>　・実践支援員子ども・子育て拠出金拠出金</t>
  </si>
  <si>
    <t>　・事業推進員子ども・子育て拠出金拠出金</t>
  </si>
  <si>
    <t>　・事業推進員子ども・子育て拠出金拠出金</t>
  </si>
  <si>
    <t>　・事業補助員子ども・子育て拠出金拠出金</t>
  </si>
  <si>
    <t>　・事業推進員厚生年金保険料</t>
  </si>
  <si>
    <t>　・事業推進員厚生年金保険料</t>
  </si>
  <si>
    <t>　・事業補助員厚生年金保険料</t>
  </si>
  <si>
    <t>　・実践支援員厚生年金保険料</t>
  </si>
  <si>
    <t>　・実践支援員厚生年金保険料</t>
  </si>
  <si>
    <t>180,000円×12カ月×91.5/1,000</t>
  </si>
  <si>
    <t>シンポジウム参加（町旅費規程1泊2日）2名分</t>
  </si>
  <si>
    <t>シンポジウム参加(町旅費規程1泊2日）2名分</t>
  </si>
  <si>
    <t>推進員事務用PCリース料　月額6,000円×3台</t>
  </si>
  <si>
    <t>30,000円×9月</t>
  </si>
  <si>
    <t>（１）１次産品加工品開発セミナー</t>
  </si>
  <si>
    <t>（3ｈ×5,000円）×座学3回×2期分</t>
  </si>
  <si>
    <t>座学3回×2期分</t>
  </si>
  <si>
    <t>（3ｈ×5,000円）×座学3回×3期分</t>
  </si>
  <si>
    <t>座学3回×3期分</t>
  </si>
  <si>
    <t>2ｈ×6,500円×座学5回×2期分</t>
  </si>
  <si>
    <t>　・ＰＣ借料10台</t>
  </si>
  <si>
    <t>6,800円×ＰＣ10台×2期分</t>
  </si>
  <si>
    <t>3,000円×ＰＣ10台×2期分</t>
  </si>
  <si>
    <t>3,000円×ＰＣ10台×2期分</t>
  </si>
  <si>
    <t>2ｈ×6,500円×座学5回×1期分</t>
  </si>
  <si>
    <t>10社×2期分</t>
  </si>
  <si>
    <t>350円×400部</t>
  </si>
  <si>
    <t>（２）提案型営業スキル習得セミナー</t>
  </si>
  <si>
    <t>2ｈ×6，500円×座学8回×3期分</t>
  </si>
  <si>
    <t>2ｈ×6,500円×座学8回×3期分</t>
  </si>
  <si>
    <t>3,150円×20人×3期</t>
  </si>
  <si>
    <t>一式18，000円×9カ月</t>
  </si>
  <si>
    <t>一式18,000円×9カ月</t>
  </si>
  <si>
    <t>支援員事務用PCリース料　月額6,000円×4台</t>
  </si>
  <si>
    <t>1月あたり100㍑×140円</t>
  </si>
  <si>
    <t>事業構想必要経費概算書（平成31年度分）</t>
  </si>
  <si>
    <t>平成29年度</t>
  </si>
  <si>
    <r>
      <t>平成3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年度</t>
    </r>
  </si>
  <si>
    <t>平成31年度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</si>
  <si>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</si>
  <si>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</si>
  <si>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</si>
  <si>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</si>
  <si>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</si>
  <si>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</si>
  <si>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</si>
  <si>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</si>
  <si>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</si>
  <si>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</si>
  <si>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</si>
  <si>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</si>
  <si>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300,000円×2カ月×90.91/1,000</t>
  </si>
  <si>
    <t>300,000円×7カ月×91.50/1,000</t>
  </si>
  <si>
    <t>300,000円×9カ月×0.002</t>
  </si>
  <si>
    <t>300,000円×9カ月×0.007</t>
  </si>
  <si>
    <t>200,000円×2カ月×90.91/1,000</t>
  </si>
  <si>
    <t>200,000円×7カ月×91.50/1,000</t>
  </si>
  <si>
    <t>200,000円×9カ月×0.007</t>
  </si>
  <si>
    <t>200,000円×9カ月×0.002</t>
  </si>
  <si>
    <t>200,000円×9カ月×0.00002</t>
  </si>
  <si>
    <t>160,000円×9カ月×0.007</t>
  </si>
  <si>
    <t>160,000円×9カ月×0.002</t>
  </si>
  <si>
    <t>160,000円×2カ月×90.91/1,000</t>
  </si>
  <si>
    <t>160,000円×7カ月×91.50/1,000</t>
  </si>
  <si>
    <t>160,000円×9カ月×0.00002</t>
  </si>
  <si>
    <t>250,000円×9カ月×0.002</t>
  </si>
  <si>
    <t>250,000円×2カ月×90.91/1,000</t>
  </si>
  <si>
    <t>250,000円×7カ月×91.50/1,000</t>
  </si>
  <si>
    <t>250,000円×9カ月×0.007</t>
  </si>
  <si>
    <t>250,000円×9カ月×0.00002</t>
  </si>
  <si>
    <t>180,000円×9カ月×0.002</t>
  </si>
  <si>
    <t>180,000円×2カ月×90.91/1,000</t>
  </si>
  <si>
    <t>180,000円×7カ月×91.50/1,000</t>
  </si>
  <si>
    <t>180,000円×9カ月×0.007</t>
  </si>
  <si>
    <t>180,000円×9カ月×0.00002</t>
  </si>
  <si>
    <t>300,000円×12カ月×0.002</t>
  </si>
  <si>
    <t>　・事業推進員厚生年金保険料</t>
  </si>
  <si>
    <t>300,000円×12カ月×91.50/1,000</t>
  </si>
  <si>
    <t>300,000円×12カ月×0.007</t>
  </si>
  <si>
    <t>300,000円×12カ月×0.00002</t>
  </si>
  <si>
    <t>200,000円×12カ月×91.50/1,000</t>
  </si>
  <si>
    <t>200,000円×12カ月×0.007</t>
  </si>
  <si>
    <t>200,000円×12カ月×0.00002</t>
  </si>
  <si>
    <t>　・事業推進員厚生年金保険料</t>
  </si>
  <si>
    <t>160,000円×12カ月×0.007</t>
  </si>
  <si>
    <t>160,000円×12カ月×0.00002</t>
  </si>
  <si>
    <t>160,000円×12カ月×91.5/1,000</t>
  </si>
  <si>
    <t>250,000円×12カ月×0.002</t>
  </si>
  <si>
    <t>　・実践支援員厚生年金保険料</t>
  </si>
  <si>
    <t>250,000円×12カ月×91.50/1,000</t>
  </si>
  <si>
    <t>250,000円×12カ月×0.007</t>
  </si>
  <si>
    <t>250,000円×12カ月×0.00002</t>
  </si>
  <si>
    <t>180,000円×12カ月×0.002</t>
  </si>
  <si>
    <t>180,000円×12カ月×91.50/1,000</t>
  </si>
  <si>
    <t>180,000円×12カ月×0.007</t>
  </si>
  <si>
    <t>180,000円×12カ月×0.00002</t>
  </si>
  <si>
    <t>　・事業補助員厚生年金保険料</t>
  </si>
  <si>
    <t>300,000円×12カ月×91.50/1,000</t>
  </si>
  <si>
    <t>200,000円×12カ月×0.002</t>
  </si>
  <si>
    <t>200,000円×12カ月×91.50/1,000</t>
  </si>
  <si>
    <t>160,000円×12カ月×0.002</t>
  </si>
  <si>
    <t>160,000円×12カ月×91.50/1,000</t>
  </si>
  <si>
    <t>座学7回×3期分（企業応対→企画プレゼン）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</si>
</sst>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dashed"/>
      <top style="hair"/>
      <bottom style="hair"/>
    </border>
    <border>
      <left style="dashed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dashed"/>
      <top style="hair"/>
      <bottom style="thin"/>
    </border>
    <border>
      <left style="dashed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28" borderId="12" xfId="0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34" borderId="12" xfId="0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 shrinkToFit="1"/>
    </xf>
    <xf numFmtId="38" fontId="47" fillId="0" borderId="22" xfId="49" applyFont="1" applyBorder="1" applyAlignment="1">
      <alignment vertical="center"/>
    </xf>
    <xf numFmtId="0" fontId="0" fillId="33" borderId="23" xfId="0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27" xfId="0" applyBorder="1" applyAlignment="1">
      <alignment vertical="center" shrinkToFit="1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48" fillId="33" borderId="30" xfId="0" applyFont="1" applyFill="1" applyBorder="1" applyAlignment="1">
      <alignment vertical="center" shrinkToFit="1"/>
    </xf>
    <xf numFmtId="0" fontId="48" fillId="28" borderId="22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vertical="center" shrinkToFit="1"/>
    </xf>
    <xf numFmtId="0" fontId="47" fillId="0" borderId="2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27" xfId="49" applyNumberFormat="1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3" xfId="49" applyNumberFormat="1" applyFont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27" xfId="0" applyFont="1" applyBorder="1" applyAlignment="1">
      <alignment vertical="center" shrinkToFit="1"/>
    </xf>
    <xf numFmtId="38" fontId="49" fillId="0" borderId="27" xfId="49" applyFont="1" applyBorder="1" applyAlignment="1">
      <alignment vertical="center"/>
    </xf>
    <xf numFmtId="38" fontId="49" fillId="0" borderId="28" xfId="49" applyFont="1" applyBorder="1" applyAlignment="1">
      <alignment vertical="center"/>
    </xf>
    <xf numFmtId="38" fontId="49" fillId="0" borderId="29" xfId="49" applyFont="1" applyBorder="1" applyAlignment="1">
      <alignment vertical="center"/>
    </xf>
    <xf numFmtId="0" fontId="49" fillId="0" borderId="0" xfId="0" applyFont="1" applyAlignment="1">
      <alignment vertical="center"/>
    </xf>
    <xf numFmtId="38" fontId="0" fillId="0" borderId="16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0" fontId="49" fillId="0" borderId="16" xfId="0" applyFont="1" applyBorder="1" applyAlignment="1">
      <alignment vertical="center" shrinkToFit="1"/>
    </xf>
    <xf numFmtId="38" fontId="49" fillId="0" borderId="16" xfId="49" applyFont="1" applyBorder="1" applyAlignment="1">
      <alignment vertical="center"/>
    </xf>
    <xf numFmtId="38" fontId="49" fillId="0" borderId="17" xfId="49" applyFont="1" applyBorder="1" applyAlignment="1">
      <alignment vertical="center"/>
    </xf>
    <xf numFmtId="38" fontId="49" fillId="0" borderId="18" xfId="49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41" fillId="0" borderId="12" xfId="49" applyFont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41" fillId="0" borderId="13" xfId="49" applyFont="1" applyBorder="1" applyAlignment="1">
      <alignment vertical="center"/>
    </xf>
    <xf numFmtId="176" fontId="0" fillId="33" borderId="38" xfId="0" applyNumberFormat="1" applyFill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41" fillId="0" borderId="19" xfId="49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41" fillId="0" borderId="44" xfId="49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76" fontId="0" fillId="33" borderId="52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53" xfId="49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41" fillId="0" borderId="56" xfId="49" applyFont="1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41" fillId="0" borderId="11" xfId="49" applyFont="1" applyBorder="1" applyAlignment="1">
      <alignment vertical="center"/>
    </xf>
    <xf numFmtId="38" fontId="0" fillId="0" borderId="31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60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38" fontId="0" fillId="35" borderId="10" xfId="49" applyFont="1" applyFill="1" applyBorder="1" applyAlignment="1">
      <alignment vertical="center"/>
    </xf>
    <xf numFmtId="0" fontId="48" fillId="35" borderId="30" xfId="0" applyFont="1" applyFill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0" fontId="48" fillId="35" borderId="12" xfId="0" applyFon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19" xfId="49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176" fontId="0" fillId="36" borderId="52" xfId="0" applyNumberForma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6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0" fontId="52" fillId="0" borderId="0" xfId="0" applyFont="1" applyAlignment="1">
      <alignment vertical="center"/>
    </xf>
    <xf numFmtId="176" fontId="0" fillId="37" borderId="67" xfId="0" applyNumberFormat="1" applyFill="1" applyBorder="1" applyAlignment="1">
      <alignment vertical="center"/>
    </xf>
    <xf numFmtId="0" fontId="50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vertical="center" shrinkToFit="1"/>
    </xf>
    <xf numFmtId="38" fontId="0" fillId="0" borderId="56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3" borderId="70" xfId="0" applyFill="1" applyBorder="1" applyAlignment="1">
      <alignment vertical="center" shrinkToFit="1"/>
    </xf>
    <xf numFmtId="38" fontId="0" fillId="33" borderId="70" xfId="49" applyFont="1" applyFill="1" applyBorder="1" applyAlignment="1">
      <alignment vertical="center"/>
    </xf>
    <xf numFmtId="0" fontId="48" fillId="33" borderId="70" xfId="0" applyFont="1" applyFill="1" applyBorder="1" applyAlignment="1">
      <alignment vertical="center" shrinkToFit="1"/>
    </xf>
    <xf numFmtId="38" fontId="0" fillId="0" borderId="34" xfId="49" applyFont="1" applyBorder="1" applyAlignment="1">
      <alignment horizontal="center" vertical="center"/>
    </xf>
    <xf numFmtId="38" fontId="0" fillId="0" borderId="71" xfId="0" applyNumberFormat="1" applyBorder="1" applyAlignment="1">
      <alignment vertical="center"/>
    </xf>
    <xf numFmtId="0" fontId="0" fillId="0" borderId="72" xfId="0" applyBorder="1" applyAlignment="1">
      <alignment horizontal="center" vertical="center"/>
    </xf>
    <xf numFmtId="38" fontId="0" fillId="0" borderId="72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74" xfId="0" applyFont="1" applyBorder="1" applyAlignment="1">
      <alignment horizontal="right" vertical="center"/>
    </xf>
    <xf numFmtId="0" fontId="53" fillId="0" borderId="75" xfId="0" applyFont="1" applyBorder="1" applyAlignment="1">
      <alignment vertical="center"/>
    </xf>
    <xf numFmtId="38" fontId="53" fillId="0" borderId="75" xfId="49" applyFont="1" applyBorder="1" applyAlignment="1">
      <alignment horizontal="right" vertical="center"/>
    </xf>
    <xf numFmtId="0" fontId="53" fillId="0" borderId="76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38" fontId="0" fillId="0" borderId="77" xfId="49" applyFont="1" applyBorder="1" applyAlignment="1">
      <alignment horizontal="center" vertical="center"/>
    </xf>
    <xf numFmtId="38" fontId="0" fillId="0" borderId="78" xfId="49" applyFont="1" applyBorder="1" applyAlignment="1">
      <alignment horizontal="center" vertical="center"/>
    </xf>
    <xf numFmtId="176" fontId="0" fillId="35" borderId="79" xfId="42" applyNumberFormat="1" applyFont="1" applyFill="1" applyBorder="1" applyAlignment="1">
      <alignment horizontal="right" vertical="center"/>
    </xf>
    <xf numFmtId="176" fontId="0" fillId="35" borderId="80" xfId="42" applyNumberFormat="1" applyFont="1" applyFill="1" applyBorder="1" applyAlignment="1">
      <alignment horizontal="right" vertical="center"/>
    </xf>
    <xf numFmtId="176" fontId="0" fillId="33" borderId="79" xfId="42" applyNumberFormat="1" applyFont="1" applyFill="1" applyBorder="1" applyAlignment="1">
      <alignment horizontal="right" vertical="center"/>
    </xf>
    <xf numFmtId="176" fontId="0" fillId="33" borderId="80" xfId="42" applyNumberFormat="1" applyFont="1" applyFill="1" applyBorder="1" applyAlignment="1">
      <alignment horizontal="right" vertical="center"/>
    </xf>
    <xf numFmtId="176" fontId="0" fillId="28" borderId="81" xfId="42" applyNumberFormat="1" applyFont="1" applyFill="1" applyBorder="1" applyAlignment="1">
      <alignment horizontal="right" vertical="center"/>
    </xf>
    <xf numFmtId="176" fontId="0" fillId="28" borderId="82" xfId="42" applyNumberFormat="1" applyFont="1" applyFill="1" applyBorder="1" applyAlignment="1">
      <alignment horizontal="right" vertical="center"/>
    </xf>
    <xf numFmtId="38" fontId="0" fillId="28" borderId="81" xfId="49" applyFont="1" applyFill="1" applyBorder="1" applyAlignment="1">
      <alignment horizontal="center" vertical="center"/>
    </xf>
    <xf numFmtId="38" fontId="0" fillId="28" borderId="82" xfId="49" applyFont="1" applyFill="1" applyBorder="1" applyAlignment="1">
      <alignment horizontal="center"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38" fontId="0" fillId="34" borderId="81" xfId="49" applyFont="1" applyFill="1" applyBorder="1" applyAlignment="1">
      <alignment horizontal="center" vertical="center"/>
    </xf>
    <xf numFmtId="38" fontId="0" fillId="34" borderId="82" xfId="49" applyFont="1" applyFill="1" applyBorder="1" applyAlignment="1">
      <alignment horizontal="center" vertical="center"/>
    </xf>
    <xf numFmtId="176" fontId="0" fillId="34" borderId="81" xfId="42" applyNumberFormat="1" applyFont="1" applyFill="1" applyBorder="1" applyAlignment="1">
      <alignment horizontal="right" vertical="center"/>
    </xf>
    <xf numFmtId="176" fontId="0" fillId="34" borderId="82" xfId="42" applyNumberFormat="1" applyFont="1" applyFill="1" applyBorder="1" applyAlignment="1">
      <alignment horizontal="right" vertical="center"/>
    </xf>
    <xf numFmtId="38" fontId="0" fillId="33" borderId="85" xfId="49" applyFont="1" applyFill="1" applyBorder="1" applyAlignment="1">
      <alignment horizontal="center" vertical="center"/>
    </xf>
    <xf numFmtId="38" fontId="0" fillId="33" borderId="86" xfId="49" applyFont="1" applyFill="1" applyBorder="1" applyAlignment="1">
      <alignment horizontal="center" vertical="center"/>
    </xf>
    <xf numFmtId="38" fontId="0" fillId="33" borderId="81" xfId="49" applyFont="1" applyFill="1" applyBorder="1" applyAlignment="1">
      <alignment horizontal="center" vertical="center"/>
    </xf>
    <xf numFmtId="38" fontId="0" fillId="33" borderId="82" xfId="49" applyFont="1" applyFill="1" applyBorder="1" applyAlignment="1">
      <alignment horizontal="center" vertical="center"/>
    </xf>
    <xf numFmtId="38" fontId="47" fillId="0" borderId="87" xfId="49" applyFont="1" applyBorder="1" applyAlignment="1">
      <alignment horizontal="center" vertical="center"/>
    </xf>
    <xf numFmtId="38" fontId="47" fillId="0" borderId="88" xfId="49" applyFont="1" applyBorder="1" applyAlignment="1">
      <alignment horizontal="center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5" borderId="82" xfId="42" applyNumberFormat="1" applyFont="1" applyFill="1" applyBorder="1" applyAlignment="1">
      <alignment horizontal="right" vertical="center"/>
    </xf>
    <xf numFmtId="0" fontId="50" fillId="0" borderId="8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38" borderId="42" xfId="0" applyFill="1" applyBorder="1" applyAlignment="1">
      <alignment horizontal="center" vertical="center" textRotation="255" wrapText="1"/>
    </xf>
    <xf numFmtId="0" fontId="0" fillId="38" borderId="55" xfId="0" applyFill="1" applyBorder="1" applyAlignment="1">
      <alignment horizontal="center" vertical="center" textRotation="255" wrapText="1"/>
    </xf>
    <xf numFmtId="0" fontId="0" fillId="38" borderId="68" xfId="0" applyFill="1" applyBorder="1" applyAlignment="1">
      <alignment horizontal="center" vertical="center" textRotation="255" wrapText="1"/>
    </xf>
    <xf numFmtId="0" fontId="0" fillId="39" borderId="42" xfId="0" applyFill="1" applyBorder="1" applyAlignment="1">
      <alignment horizontal="center" vertical="center" textRotation="255" shrinkToFit="1"/>
    </xf>
    <xf numFmtId="0" fontId="0" fillId="39" borderId="68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5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18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847725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SheetLayoutView="100" workbookViewId="0" topLeftCell="A1">
      <selection activeCell="C152" sqref="C152:D152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40" customWidth="1"/>
  </cols>
  <sheetData>
    <row r="1" spans="1:5" ht="17.25">
      <c r="A1" s="154" t="s">
        <v>267</v>
      </c>
      <c r="B1" s="154"/>
      <c r="C1" s="154"/>
      <c r="D1" s="154"/>
      <c r="E1" s="154"/>
    </row>
    <row r="2" spans="1:5" ht="18" thickBot="1">
      <c r="A2" s="46" t="s">
        <v>63</v>
      </c>
      <c r="B2" s="103"/>
      <c r="C2" s="103"/>
      <c r="D2" s="103"/>
      <c r="E2" s="103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ht="15" customHeight="1" thickBot="1">
      <c r="A4" s="105" t="s">
        <v>152</v>
      </c>
      <c r="B4" s="106">
        <f>B5+B60</f>
        <v>24408</v>
      </c>
      <c r="C4" s="157">
        <f>B4/B181</f>
        <v>0.5765987101651272</v>
      </c>
      <c r="D4" s="158"/>
      <c r="E4" s="107" t="s">
        <v>178</v>
      </c>
    </row>
    <row r="5" spans="1:5" ht="15" customHeight="1">
      <c r="A5" s="1" t="s">
        <v>5</v>
      </c>
      <c r="B5" s="4">
        <f>B6+B39</f>
        <v>11629</v>
      </c>
      <c r="C5" s="159">
        <f>B5/$B$181</f>
        <v>0.27471592922444543</v>
      </c>
      <c r="D5" s="160"/>
      <c r="E5" s="36" t="s">
        <v>150</v>
      </c>
    </row>
    <row r="6" spans="1:5" ht="15" customHeight="1" thickBot="1">
      <c r="A6" s="8" t="s">
        <v>0</v>
      </c>
      <c r="B6" s="9">
        <f>SUM(B7:B38)</f>
        <v>7460</v>
      </c>
      <c r="C6" s="161">
        <f>B6/$B$181</f>
        <v>0.17623018591575915</v>
      </c>
      <c r="D6" s="162"/>
      <c r="E6" s="37" t="s">
        <v>151</v>
      </c>
    </row>
    <row r="7" spans="1:5" ht="13.5">
      <c r="A7" s="10" t="s">
        <v>46</v>
      </c>
      <c r="B7" s="43">
        <f>ROUNDUP(C7*D7/1000,0)</f>
        <v>2700</v>
      </c>
      <c r="C7" s="12">
        <v>300000</v>
      </c>
      <c r="D7" s="13">
        <v>9</v>
      </c>
      <c r="E7" s="32" t="s">
        <v>64</v>
      </c>
    </row>
    <row r="8" spans="1:5" ht="13.5">
      <c r="A8" s="32" t="s">
        <v>51</v>
      </c>
      <c r="B8" s="48">
        <f>ROUNDUP(C8*D8/1000,0)</f>
        <v>288</v>
      </c>
      <c r="C8" s="34">
        <f>C7/22/8*1.25</f>
        <v>2130.681818181818</v>
      </c>
      <c r="D8" s="35">
        <v>135</v>
      </c>
      <c r="E8" s="32" t="s">
        <v>171</v>
      </c>
    </row>
    <row r="9" spans="1:5" s="51" customFormat="1" ht="13.5">
      <c r="A9" s="47" t="s">
        <v>37</v>
      </c>
      <c r="B9" s="48">
        <f>ROUNDUP(C9*D9/1000,0)</f>
        <v>10</v>
      </c>
      <c r="C9" s="49">
        <v>9200</v>
      </c>
      <c r="D9" s="50">
        <v>1</v>
      </c>
      <c r="E9" s="47" t="s">
        <v>38</v>
      </c>
    </row>
    <row r="10" spans="1:5" ht="13.5">
      <c r="A10" s="32" t="s">
        <v>6</v>
      </c>
      <c r="B10" s="41">
        <f aca="true" t="shared" si="0" ref="B10:B38">ROUNDUP(C10*D10/1000,0)</f>
        <v>135</v>
      </c>
      <c r="C10" s="34">
        <f>300000*9*0.05</f>
        <v>135000</v>
      </c>
      <c r="D10" s="35">
        <v>1</v>
      </c>
      <c r="E10" s="32" t="s">
        <v>202</v>
      </c>
    </row>
    <row r="11" spans="1:5" ht="13.5">
      <c r="A11" s="32" t="s">
        <v>7</v>
      </c>
      <c r="B11" s="41">
        <f t="shared" si="0"/>
        <v>22</v>
      </c>
      <c r="C11" s="34">
        <f>300000*9*0.0079</f>
        <v>21330.000000000004</v>
      </c>
      <c r="D11" s="35">
        <v>1</v>
      </c>
      <c r="E11" s="32" t="s">
        <v>277</v>
      </c>
    </row>
    <row r="12" spans="1:5" ht="13.5">
      <c r="A12" s="32" t="s">
        <v>269</v>
      </c>
      <c r="B12" s="41">
        <f t="shared" si="0"/>
        <v>6</v>
      </c>
      <c r="C12" s="34">
        <f>300000*9*0.002</f>
        <v>5400</v>
      </c>
      <c r="D12" s="35">
        <v>1</v>
      </c>
      <c r="E12" s="32" t="s">
        <v>342</v>
      </c>
    </row>
    <row r="13" spans="1:5" ht="13.5">
      <c r="A13" s="32" t="s">
        <v>270</v>
      </c>
      <c r="B13" s="41">
        <f t="shared" si="0"/>
        <v>55</v>
      </c>
      <c r="C13" s="34">
        <f>300000*2*90.91/1000</f>
        <v>54546</v>
      </c>
      <c r="D13" s="35">
        <v>1</v>
      </c>
      <c r="E13" s="32" t="s">
        <v>340</v>
      </c>
    </row>
    <row r="14" spans="1:5" ht="13.5">
      <c r="A14" s="32" t="s">
        <v>272</v>
      </c>
      <c r="B14" s="41">
        <f>ROUNDUP(C14*D14/1000,0)</f>
        <v>193</v>
      </c>
      <c r="C14" s="34">
        <f>300000*7*91.5/1000</f>
        <v>192150</v>
      </c>
      <c r="D14" s="35">
        <v>1</v>
      </c>
      <c r="E14" s="32" t="s">
        <v>341</v>
      </c>
    </row>
    <row r="15" spans="1:5" ht="13.5">
      <c r="A15" s="32" t="s">
        <v>8</v>
      </c>
      <c r="B15" s="41">
        <f t="shared" si="0"/>
        <v>19</v>
      </c>
      <c r="C15" s="34">
        <f>300000*9*0.007</f>
        <v>18900</v>
      </c>
      <c r="D15" s="35">
        <v>1</v>
      </c>
      <c r="E15" s="32" t="s">
        <v>343</v>
      </c>
    </row>
    <row r="16" spans="1:5" ht="13.5">
      <c r="A16" s="32" t="s">
        <v>9</v>
      </c>
      <c r="B16" s="41">
        <f t="shared" si="0"/>
        <v>9</v>
      </c>
      <c r="C16" s="34">
        <f>300000*9*0.003</f>
        <v>8100</v>
      </c>
      <c r="D16" s="35">
        <v>1</v>
      </c>
      <c r="E16" s="32" t="s">
        <v>219</v>
      </c>
    </row>
    <row r="17" spans="1:5" ht="13.5">
      <c r="A17" s="32" t="s">
        <v>10</v>
      </c>
      <c r="B17" s="41">
        <f t="shared" si="0"/>
        <v>1</v>
      </c>
      <c r="C17" s="34">
        <f>300000*9*0.00002</f>
        <v>54.00000000000001</v>
      </c>
      <c r="D17" s="35">
        <v>1</v>
      </c>
      <c r="E17" s="32" t="s">
        <v>271</v>
      </c>
    </row>
    <row r="18" spans="1:5" ht="13.5">
      <c r="A18" s="14" t="s">
        <v>65</v>
      </c>
      <c r="B18" s="52">
        <f t="shared" si="0"/>
        <v>1800</v>
      </c>
      <c r="C18" s="53">
        <v>200000</v>
      </c>
      <c r="D18" s="17">
        <v>9</v>
      </c>
      <c r="E18" s="14" t="s">
        <v>265</v>
      </c>
    </row>
    <row r="19" spans="1:5" ht="13.5">
      <c r="A19" s="32" t="s">
        <v>51</v>
      </c>
      <c r="B19" s="48">
        <f>ROUNDUP(C19*D19/1000,0)</f>
        <v>230</v>
      </c>
      <c r="C19" s="34">
        <f>C18/22/8*1.12</f>
        <v>1272.7272727272727</v>
      </c>
      <c r="D19" s="35">
        <v>180</v>
      </c>
      <c r="E19" s="32" t="s">
        <v>266</v>
      </c>
    </row>
    <row r="20" spans="1:5" s="51" customFormat="1" ht="13.5">
      <c r="A20" s="54" t="s">
        <v>66</v>
      </c>
      <c r="B20" s="55">
        <f t="shared" si="0"/>
        <v>10</v>
      </c>
      <c r="C20" s="56">
        <v>9200</v>
      </c>
      <c r="D20" s="57">
        <v>1</v>
      </c>
      <c r="E20" s="54" t="s">
        <v>38</v>
      </c>
    </row>
    <row r="21" spans="1:5" ht="13.5">
      <c r="A21" s="32" t="s">
        <v>67</v>
      </c>
      <c r="B21" s="41">
        <f t="shared" si="0"/>
        <v>90</v>
      </c>
      <c r="C21" s="34">
        <f>C18*9*0.05</f>
        <v>90000</v>
      </c>
      <c r="D21" s="35">
        <v>1</v>
      </c>
      <c r="E21" s="32" t="s">
        <v>203</v>
      </c>
    </row>
    <row r="22" spans="1:5" ht="13.5">
      <c r="A22" s="32" t="s">
        <v>7</v>
      </c>
      <c r="B22" s="41">
        <f t="shared" si="0"/>
        <v>15</v>
      </c>
      <c r="C22" s="34">
        <f>C18*9*0.0079</f>
        <v>14220.000000000002</v>
      </c>
      <c r="D22" s="35">
        <v>1</v>
      </c>
      <c r="E22" s="32" t="s">
        <v>278</v>
      </c>
    </row>
    <row r="23" spans="1:5" ht="13.5">
      <c r="A23" s="32" t="s">
        <v>269</v>
      </c>
      <c r="B23" s="41">
        <f t="shared" si="0"/>
        <v>4</v>
      </c>
      <c r="C23" s="34">
        <f>C18*9*0.002</f>
        <v>3600</v>
      </c>
      <c r="D23" s="35">
        <v>1</v>
      </c>
      <c r="E23" s="32" t="s">
        <v>347</v>
      </c>
    </row>
    <row r="24" spans="1:5" ht="13.5">
      <c r="A24" s="32" t="s">
        <v>270</v>
      </c>
      <c r="B24" s="41">
        <f t="shared" si="0"/>
        <v>37</v>
      </c>
      <c r="C24" s="34">
        <f>C18*2*90.91/1000</f>
        <v>36364</v>
      </c>
      <c r="D24" s="35">
        <v>1</v>
      </c>
      <c r="E24" s="32" t="s">
        <v>344</v>
      </c>
    </row>
    <row r="25" spans="1:5" ht="13.5">
      <c r="A25" s="32" t="s">
        <v>272</v>
      </c>
      <c r="B25" s="41">
        <f t="shared" si="0"/>
        <v>129</v>
      </c>
      <c r="C25" s="34">
        <f>C18*7*91.5/1000</f>
        <v>128100</v>
      </c>
      <c r="D25" s="35">
        <v>1</v>
      </c>
      <c r="E25" s="32" t="s">
        <v>345</v>
      </c>
    </row>
    <row r="26" spans="1:5" ht="13.5">
      <c r="A26" s="32" t="s">
        <v>69</v>
      </c>
      <c r="B26" s="41">
        <f t="shared" si="0"/>
        <v>13</v>
      </c>
      <c r="C26" s="34">
        <f>C18*9*0.007</f>
        <v>12600</v>
      </c>
      <c r="D26" s="35">
        <v>1</v>
      </c>
      <c r="E26" s="32" t="s">
        <v>346</v>
      </c>
    </row>
    <row r="27" spans="1:5" ht="13.5">
      <c r="A27" s="32" t="s">
        <v>70</v>
      </c>
      <c r="B27" s="41">
        <f t="shared" si="0"/>
        <v>6</v>
      </c>
      <c r="C27" s="34">
        <f>C18*9*0.003</f>
        <v>5400</v>
      </c>
      <c r="D27" s="35">
        <v>1</v>
      </c>
      <c r="E27" s="32" t="s">
        <v>220</v>
      </c>
    </row>
    <row r="28" spans="1:5" ht="13.5">
      <c r="A28" s="32" t="s">
        <v>71</v>
      </c>
      <c r="B28" s="41">
        <f t="shared" si="0"/>
        <v>1</v>
      </c>
      <c r="C28" s="34">
        <f>C18*9*0.00002</f>
        <v>36</v>
      </c>
      <c r="D28" s="35">
        <v>1</v>
      </c>
      <c r="E28" s="32" t="s">
        <v>348</v>
      </c>
    </row>
    <row r="29" spans="1:5" ht="13.5">
      <c r="A29" s="14" t="s">
        <v>45</v>
      </c>
      <c r="B29" s="52">
        <f t="shared" si="0"/>
        <v>1440</v>
      </c>
      <c r="C29" s="53">
        <v>160000</v>
      </c>
      <c r="D29" s="17">
        <v>9</v>
      </c>
      <c r="E29" s="14" t="s">
        <v>170</v>
      </c>
    </row>
    <row r="30" spans="1:5" s="51" customFormat="1" ht="13.5">
      <c r="A30" s="54" t="s">
        <v>39</v>
      </c>
      <c r="B30" s="55">
        <f t="shared" si="0"/>
        <v>10</v>
      </c>
      <c r="C30" s="56">
        <v>9200</v>
      </c>
      <c r="D30" s="57">
        <v>1</v>
      </c>
      <c r="E30" s="54" t="s">
        <v>38</v>
      </c>
    </row>
    <row r="31" spans="1:5" ht="13.5">
      <c r="A31" s="32" t="s">
        <v>40</v>
      </c>
      <c r="B31" s="41">
        <f t="shared" si="0"/>
        <v>72</v>
      </c>
      <c r="C31" s="34">
        <f>160000*9*0.05</f>
        <v>72000</v>
      </c>
      <c r="D31" s="35">
        <v>1</v>
      </c>
      <c r="E31" s="32" t="s">
        <v>204</v>
      </c>
    </row>
    <row r="32" spans="1:5" ht="13.5">
      <c r="A32" s="32" t="s">
        <v>41</v>
      </c>
      <c r="B32" s="41">
        <f t="shared" si="0"/>
        <v>12</v>
      </c>
      <c r="C32" s="34">
        <f>160000*9*0.0079</f>
        <v>11376.000000000002</v>
      </c>
      <c r="D32" s="35">
        <v>1</v>
      </c>
      <c r="E32" s="32" t="s">
        <v>276</v>
      </c>
    </row>
    <row r="33" spans="1:5" ht="13.5">
      <c r="A33" s="32" t="s">
        <v>273</v>
      </c>
      <c r="B33" s="41">
        <f t="shared" si="0"/>
        <v>3</v>
      </c>
      <c r="C33" s="34">
        <f>160000*9*0.002</f>
        <v>2880</v>
      </c>
      <c r="D33" s="35">
        <v>1</v>
      </c>
      <c r="E33" s="32" t="s">
        <v>350</v>
      </c>
    </row>
    <row r="34" spans="1:5" ht="13.5">
      <c r="A34" s="32" t="s">
        <v>274</v>
      </c>
      <c r="B34" s="41">
        <f t="shared" si="0"/>
        <v>30</v>
      </c>
      <c r="C34" s="34">
        <f>160000*2*90.91/1000</f>
        <v>29091.2</v>
      </c>
      <c r="D34" s="35">
        <v>1</v>
      </c>
      <c r="E34" s="32" t="s">
        <v>351</v>
      </c>
    </row>
    <row r="35" spans="1:5" ht="13.5">
      <c r="A35" s="32" t="s">
        <v>275</v>
      </c>
      <c r="B35" s="41">
        <f t="shared" si="0"/>
        <v>103</v>
      </c>
      <c r="C35" s="34">
        <f>160000*7*91.5/1000</f>
        <v>102480</v>
      </c>
      <c r="D35" s="35">
        <v>1</v>
      </c>
      <c r="E35" s="32" t="s">
        <v>352</v>
      </c>
    </row>
    <row r="36" spans="1:5" ht="13.5">
      <c r="A36" s="32" t="s">
        <v>42</v>
      </c>
      <c r="B36" s="41">
        <f t="shared" si="0"/>
        <v>11</v>
      </c>
      <c r="C36" s="34">
        <f>160000*9*0.007</f>
        <v>10080</v>
      </c>
      <c r="D36" s="35">
        <v>1</v>
      </c>
      <c r="E36" s="32" t="s">
        <v>349</v>
      </c>
    </row>
    <row r="37" spans="1:5" ht="13.5">
      <c r="A37" s="32" t="s">
        <v>43</v>
      </c>
      <c r="B37" s="41">
        <f t="shared" si="0"/>
        <v>5</v>
      </c>
      <c r="C37" s="34">
        <f>160000*9*0.003</f>
        <v>4320</v>
      </c>
      <c r="D37" s="35">
        <v>1</v>
      </c>
      <c r="E37" s="32" t="s">
        <v>217</v>
      </c>
    </row>
    <row r="38" spans="1:5" ht="13.5">
      <c r="A38" s="32" t="s">
        <v>44</v>
      </c>
      <c r="B38" s="41">
        <f t="shared" si="0"/>
        <v>1</v>
      </c>
      <c r="C38" s="34">
        <f>160000*9*0.00002</f>
        <v>28.8</v>
      </c>
      <c r="D38" s="35">
        <v>1</v>
      </c>
      <c r="E38" s="32" t="s">
        <v>353</v>
      </c>
    </row>
    <row r="39" spans="1:5" ht="15" customHeight="1">
      <c r="A39" s="8" t="s">
        <v>1</v>
      </c>
      <c r="B39" s="9">
        <f>B40+B44+B48+B53+B56</f>
        <v>4169</v>
      </c>
      <c r="C39" s="163"/>
      <c r="D39" s="164"/>
      <c r="E39" s="8"/>
    </row>
    <row r="40" spans="1:5" ht="13.5">
      <c r="A40" s="10" t="s">
        <v>80</v>
      </c>
      <c r="B40" s="11">
        <f>SUM(B41:B43)</f>
        <v>158</v>
      </c>
      <c r="C40" s="12"/>
      <c r="D40" s="13"/>
      <c r="E40" s="10"/>
    </row>
    <row r="41" spans="1:5" ht="13.5">
      <c r="A41" s="14" t="s">
        <v>81</v>
      </c>
      <c r="B41" s="15">
        <f>ROUNDUP(C41*D41/1000,0)</f>
        <v>59</v>
      </c>
      <c r="C41" s="100">
        <v>29260</v>
      </c>
      <c r="D41" s="17">
        <v>2</v>
      </c>
      <c r="E41" s="14" t="s">
        <v>72</v>
      </c>
    </row>
    <row r="42" spans="1:5" ht="13.5">
      <c r="A42" s="14" t="s">
        <v>82</v>
      </c>
      <c r="B42" s="15">
        <f>ROUNDUP(C42*D42/1000,0)</f>
        <v>10</v>
      </c>
      <c r="C42" s="100">
        <v>9860</v>
      </c>
      <c r="D42" s="17">
        <v>1</v>
      </c>
      <c r="E42" s="14" t="s">
        <v>47</v>
      </c>
    </row>
    <row r="43" spans="1:5" ht="13.5">
      <c r="A43" s="14" t="s">
        <v>81</v>
      </c>
      <c r="B43" s="15">
        <f>ROUNDUP(C43*D43/1000,0)</f>
        <v>89</v>
      </c>
      <c r="C43" s="100">
        <f>29260+4200+11000</f>
        <v>44460</v>
      </c>
      <c r="D43" s="17">
        <v>2</v>
      </c>
      <c r="E43" s="14" t="s">
        <v>299</v>
      </c>
    </row>
    <row r="44" spans="1:5" ht="13.5">
      <c r="A44" s="14" t="s">
        <v>11</v>
      </c>
      <c r="B44" s="15">
        <f>B45+B46+B47</f>
        <v>243</v>
      </c>
      <c r="C44" s="104"/>
      <c r="D44" s="101"/>
      <c r="E44" s="14"/>
    </row>
    <row r="45" spans="1:5" ht="13.5">
      <c r="A45" s="14" t="s">
        <v>12</v>
      </c>
      <c r="B45" s="15">
        <f>ROUNDUP(C45*D45/1000,0)</f>
        <v>108</v>
      </c>
      <c r="C45" s="100">
        <v>12000</v>
      </c>
      <c r="D45" s="17">
        <v>9</v>
      </c>
      <c r="E45" s="14"/>
    </row>
    <row r="46" spans="1:5" ht="13.5">
      <c r="A46" s="14" t="s">
        <v>13</v>
      </c>
      <c r="B46" s="15">
        <f>ROUNDUP(C46*D46/1000,0)</f>
        <v>90</v>
      </c>
      <c r="C46" s="100">
        <v>10000</v>
      </c>
      <c r="D46" s="17">
        <v>9</v>
      </c>
      <c r="E46" s="14"/>
    </row>
    <row r="47" spans="1:5" ht="13.5">
      <c r="A47" s="14" t="s">
        <v>14</v>
      </c>
      <c r="B47" s="15">
        <f>ROUNDUP(C47*D47/1000,0)</f>
        <v>45</v>
      </c>
      <c r="C47" s="100">
        <v>5000</v>
      </c>
      <c r="D47" s="17">
        <v>9</v>
      </c>
      <c r="E47" s="14"/>
    </row>
    <row r="48" spans="1:5" ht="13.5">
      <c r="A48" s="14" t="s">
        <v>73</v>
      </c>
      <c r="B48" s="15">
        <f>SUM(B49:B52)</f>
        <v>508</v>
      </c>
      <c r="C48" s="100"/>
      <c r="D48" s="17"/>
      <c r="E48" s="14"/>
    </row>
    <row r="49" spans="1:5" ht="13.5">
      <c r="A49" s="14" t="s">
        <v>124</v>
      </c>
      <c r="B49" s="15">
        <f>ROUNDUP(C49*D49/1000,0)</f>
        <v>20</v>
      </c>
      <c r="C49" s="100">
        <v>2200</v>
      </c>
      <c r="D49" s="17">
        <v>9</v>
      </c>
      <c r="E49" s="14" t="s">
        <v>125</v>
      </c>
    </row>
    <row r="50" spans="1:5" ht="13.5">
      <c r="A50" s="14" t="s">
        <v>30</v>
      </c>
      <c r="B50" s="15">
        <f>ROUNDUP(C50*D50/1000,0)</f>
        <v>162</v>
      </c>
      <c r="C50" s="100">
        <v>18000</v>
      </c>
      <c r="D50" s="17">
        <v>9</v>
      </c>
      <c r="E50" s="14" t="s">
        <v>301</v>
      </c>
    </row>
    <row r="51" spans="1:5" ht="13.5">
      <c r="A51" s="14" t="s">
        <v>74</v>
      </c>
      <c r="B51" s="15">
        <f>ROUNDUP(C51*D51/1000,0)</f>
        <v>234</v>
      </c>
      <c r="C51" s="100">
        <f>26000*1</f>
        <v>26000</v>
      </c>
      <c r="D51" s="17">
        <v>9</v>
      </c>
      <c r="E51" s="14" t="s">
        <v>75</v>
      </c>
    </row>
    <row r="52" spans="1:5" ht="13.5">
      <c r="A52" s="14" t="s">
        <v>76</v>
      </c>
      <c r="B52" s="15">
        <f>ROUNDUP(C52*D52/1000,0)</f>
        <v>92</v>
      </c>
      <c r="C52" s="100">
        <f>10200*1</f>
        <v>10200</v>
      </c>
      <c r="D52" s="17">
        <v>9</v>
      </c>
      <c r="E52" s="14" t="s">
        <v>77</v>
      </c>
    </row>
    <row r="53" spans="1:5" ht="13.5">
      <c r="A53" s="14" t="s">
        <v>15</v>
      </c>
      <c r="B53" s="15">
        <f>SUM(B54:B59)</f>
        <v>2243</v>
      </c>
      <c r="C53" s="100"/>
      <c r="D53" s="17"/>
      <c r="E53" s="14"/>
    </row>
    <row r="54" spans="1:5" ht="13.5">
      <c r="A54" s="14" t="s">
        <v>78</v>
      </c>
      <c r="B54" s="15">
        <f>ROUNDUP(C54*D54/1000,0)</f>
        <v>108</v>
      </c>
      <c r="C54" s="100">
        <v>12000</v>
      </c>
      <c r="D54" s="17">
        <v>9</v>
      </c>
      <c r="E54" s="14" t="s">
        <v>36</v>
      </c>
    </row>
    <row r="55" spans="1:5" ht="13.5">
      <c r="A55" s="14" t="s">
        <v>79</v>
      </c>
      <c r="B55" s="15">
        <f>ROUNDUP(C55*D55/1000,0)</f>
        <v>101</v>
      </c>
      <c r="C55" s="100">
        <v>11200</v>
      </c>
      <c r="D55" s="17">
        <v>9</v>
      </c>
      <c r="E55" s="139" t="s">
        <v>169</v>
      </c>
    </row>
    <row r="56" spans="1:5" ht="13.5">
      <c r="A56" s="14" t="s">
        <v>172</v>
      </c>
      <c r="B56" s="15">
        <f>SUM(B57:B59)</f>
        <v>1017</v>
      </c>
      <c r="C56" s="100"/>
      <c r="D56" s="17"/>
      <c r="E56" s="140"/>
    </row>
    <row r="57" spans="1:5" ht="13.5">
      <c r="A57" s="14" t="s">
        <v>121</v>
      </c>
      <c r="B57" s="15">
        <f>ROUNDUP(C57*D57/1000,0)</f>
        <v>585</v>
      </c>
      <c r="C57" s="100">
        <v>65000</v>
      </c>
      <c r="D57" s="17">
        <v>9</v>
      </c>
      <c r="E57" s="14" t="s">
        <v>158</v>
      </c>
    </row>
    <row r="58" spans="1:5" ht="13.5">
      <c r="A58" s="14" t="s">
        <v>243</v>
      </c>
      <c r="B58" s="15">
        <f>ROUNDUP(C58*D58/1000,0)</f>
        <v>162</v>
      </c>
      <c r="C58" s="100">
        <v>18000</v>
      </c>
      <c r="D58" s="17">
        <v>9</v>
      </c>
      <c r="E58" s="14" t="s">
        <v>320</v>
      </c>
    </row>
    <row r="59" spans="1:5" ht="14.25" thickBot="1">
      <c r="A59" s="28" t="s">
        <v>122</v>
      </c>
      <c r="B59" s="29">
        <f>ROUNDUP(C59*D59/1000,0)</f>
        <v>270</v>
      </c>
      <c r="C59" s="42">
        <v>30000</v>
      </c>
      <c r="D59" s="31">
        <v>9</v>
      </c>
      <c r="E59" s="28" t="s">
        <v>302</v>
      </c>
    </row>
    <row r="60" spans="1:5" ht="15" customHeight="1" thickTop="1">
      <c r="A60" s="141" t="s">
        <v>16</v>
      </c>
      <c r="B60" s="142">
        <f>B61+B92+B117</f>
        <v>12779</v>
      </c>
      <c r="C60" s="165"/>
      <c r="D60" s="166"/>
      <c r="E60" s="143"/>
    </row>
    <row r="61" spans="1:5" ht="15" customHeight="1">
      <c r="A61" s="22" t="s">
        <v>17</v>
      </c>
      <c r="B61" s="23">
        <f>B62+B68+B77+B87</f>
        <v>3882</v>
      </c>
      <c r="C61" s="167"/>
      <c r="D61" s="168"/>
      <c r="E61" s="22"/>
    </row>
    <row r="62" spans="1:5" ht="15" customHeight="1">
      <c r="A62" s="8" t="s">
        <v>303</v>
      </c>
      <c r="B62" s="9">
        <f>SUM(B63:B67)</f>
        <v>1275</v>
      </c>
      <c r="C62" s="163"/>
      <c r="D62" s="164"/>
      <c r="E62" s="8"/>
    </row>
    <row r="63" spans="1:5" ht="13.5">
      <c r="A63" s="10" t="s">
        <v>18</v>
      </c>
      <c r="B63" s="11">
        <f>ROUNDUP(C63*D63/1000,0)</f>
        <v>800</v>
      </c>
      <c r="C63" s="12">
        <v>100000</v>
      </c>
      <c r="D63" s="13">
        <v>8</v>
      </c>
      <c r="E63" s="10" t="s">
        <v>88</v>
      </c>
    </row>
    <row r="64" spans="1:5" ht="13.5">
      <c r="A64" s="14" t="s">
        <v>35</v>
      </c>
      <c r="B64" s="15">
        <f>ROUNDUP(C64*D64/1000,0)</f>
        <v>235</v>
      </c>
      <c r="C64" s="100">
        <f>29260</f>
        <v>29260</v>
      </c>
      <c r="D64" s="17">
        <v>8</v>
      </c>
      <c r="E64" s="102" t="s">
        <v>83</v>
      </c>
    </row>
    <row r="65" spans="1:5" ht="13.5">
      <c r="A65" s="14" t="s">
        <v>20</v>
      </c>
      <c r="B65" s="15">
        <f>ROUNDUP(C65*D65/1000,0)</f>
        <v>120</v>
      </c>
      <c r="C65" s="34">
        <v>15000</v>
      </c>
      <c r="D65" s="35">
        <v>8</v>
      </c>
      <c r="E65" s="32" t="s">
        <v>221</v>
      </c>
    </row>
    <row r="66" spans="1:5" ht="13.5">
      <c r="A66" s="14" t="s">
        <v>84</v>
      </c>
      <c r="B66" s="15">
        <f>ROUNDUP(C66*D66/1000,0)</f>
        <v>40</v>
      </c>
      <c r="C66" s="100">
        <v>5000</v>
      </c>
      <c r="D66" s="17">
        <v>8</v>
      </c>
      <c r="E66" s="14" t="s">
        <v>222</v>
      </c>
    </row>
    <row r="67" spans="1:5" ht="13.5">
      <c r="A67" s="18" t="s">
        <v>21</v>
      </c>
      <c r="B67" s="19">
        <f>ROUNDUP(C67*D67/1000,0)</f>
        <v>80</v>
      </c>
      <c r="C67" s="20">
        <v>80000</v>
      </c>
      <c r="D67" s="21">
        <v>1</v>
      </c>
      <c r="E67" s="18" t="s">
        <v>48</v>
      </c>
    </row>
    <row r="68" spans="1:5" ht="15" customHeight="1">
      <c r="A68" s="8" t="s">
        <v>223</v>
      </c>
      <c r="B68" s="9">
        <f>SUM(B69:B76)</f>
        <v>1342</v>
      </c>
      <c r="C68" s="163"/>
      <c r="D68" s="164"/>
      <c r="E68" s="8"/>
    </row>
    <row r="69" spans="1:5" ht="13.5">
      <c r="A69" s="10" t="s">
        <v>18</v>
      </c>
      <c r="B69" s="11">
        <f aca="true" t="shared" si="1" ref="B69:B76">ROUNDUP(C69*D69/1000,0)</f>
        <v>800</v>
      </c>
      <c r="C69" s="12">
        <v>100000</v>
      </c>
      <c r="D69" s="13">
        <v>8</v>
      </c>
      <c r="E69" s="10" t="s">
        <v>224</v>
      </c>
    </row>
    <row r="70" spans="1:5" ht="13.5">
      <c r="A70" s="14" t="s">
        <v>35</v>
      </c>
      <c r="B70" s="15">
        <f t="shared" si="1"/>
        <v>235</v>
      </c>
      <c r="C70" s="100">
        <f>29260</f>
        <v>29260</v>
      </c>
      <c r="D70" s="17">
        <v>8</v>
      </c>
      <c r="E70" s="102" t="s">
        <v>83</v>
      </c>
    </row>
    <row r="71" spans="1:5" ht="13.5">
      <c r="A71" s="14" t="s">
        <v>86</v>
      </c>
      <c r="B71" s="15">
        <f t="shared" si="1"/>
        <v>20</v>
      </c>
      <c r="C71" s="100">
        <v>10000</v>
      </c>
      <c r="D71" s="35">
        <v>2</v>
      </c>
      <c r="E71" s="32" t="s">
        <v>85</v>
      </c>
    </row>
    <row r="72" spans="1:5" ht="13.5">
      <c r="A72" s="14" t="s">
        <v>20</v>
      </c>
      <c r="B72" s="15">
        <f t="shared" si="1"/>
        <v>90</v>
      </c>
      <c r="C72" s="34">
        <v>15000</v>
      </c>
      <c r="D72" s="35">
        <v>6</v>
      </c>
      <c r="E72" s="32" t="s">
        <v>304</v>
      </c>
    </row>
    <row r="73" spans="1:5" ht="13.5">
      <c r="A73" s="14" t="s">
        <v>84</v>
      </c>
      <c r="B73" s="15">
        <f t="shared" si="1"/>
        <v>30</v>
      </c>
      <c r="C73" s="100">
        <v>5000</v>
      </c>
      <c r="D73" s="17">
        <v>6</v>
      </c>
      <c r="E73" s="14" t="s">
        <v>305</v>
      </c>
    </row>
    <row r="74" spans="1:5" ht="13.5">
      <c r="A74" s="14" t="s">
        <v>28</v>
      </c>
      <c r="B74" s="15">
        <f t="shared" si="1"/>
        <v>57</v>
      </c>
      <c r="C74" s="100">
        <v>28500</v>
      </c>
      <c r="D74" s="17">
        <v>2</v>
      </c>
      <c r="E74" s="14" t="s">
        <v>92</v>
      </c>
    </row>
    <row r="75" spans="1:5" ht="13.5">
      <c r="A75" s="28" t="s">
        <v>34</v>
      </c>
      <c r="B75" s="29">
        <f t="shared" si="1"/>
        <v>30</v>
      </c>
      <c r="C75" s="42">
        <v>1000</v>
      </c>
      <c r="D75" s="31">
        <v>30</v>
      </c>
      <c r="E75" s="28" t="s">
        <v>87</v>
      </c>
    </row>
    <row r="76" spans="1:5" ht="13.5">
      <c r="A76" s="18" t="s">
        <v>21</v>
      </c>
      <c r="B76" s="19">
        <f t="shared" si="1"/>
        <v>80</v>
      </c>
      <c r="C76" s="20">
        <v>80000</v>
      </c>
      <c r="D76" s="21">
        <v>1</v>
      </c>
      <c r="E76" s="18" t="s">
        <v>48</v>
      </c>
    </row>
    <row r="77" spans="1:5" ht="15" customHeight="1">
      <c r="A77" s="8" t="s">
        <v>225</v>
      </c>
      <c r="B77" s="9">
        <f>B78</f>
        <v>905</v>
      </c>
      <c r="C77" s="163"/>
      <c r="D77" s="164"/>
      <c r="E77" s="8"/>
    </row>
    <row r="78" spans="1:5" ht="13.5">
      <c r="A78" s="10" t="s">
        <v>157</v>
      </c>
      <c r="B78" s="11">
        <f>SUM(B79:B86)</f>
        <v>905</v>
      </c>
      <c r="C78" s="12"/>
      <c r="D78" s="13"/>
      <c r="E78" s="10"/>
    </row>
    <row r="79" spans="1:5" ht="13.5">
      <c r="A79" s="32" t="s">
        <v>18</v>
      </c>
      <c r="B79" s="15">
        <f>ROUNDUP(C79*D79/1000,0)</f>
        <v>500</v>
      </c>
      <c r="C79" s="34">
        <v>100000</v>
      </c>
      <c r="D79" s="35">
        <v>5</v>
      </c>
      <c r="E79" s="32" t="s">
        <v>226</v>
      </c>
    </row>
    <row r="80" spans="1:5" ht="13.5">
      <c r="A80" s="14" t="s">
        <v>35</v>
      </c>
      <c r="B80" s="15">
        <f>ROUNDUP(C80*D80/1000,0)</f>
        <v>147</v>
      </c>
      <c r="C80" s="100">
        <f>29260</f>
        <v>29260</v>
      </c>
      <c r="D80" s="17">
        <v>5</v>
      </c>
      <c r="E80" s="14"/>
    </row>
    <row r="81" spans="1:5" ht="13.5">
      <c r="A81" s="14" t="s">
        <v>20</v>
      </c>
      <c r="B81" s="29">
        <f>ROUNDUP(C81*D81/1000,0)</f>
        <v>65</v>
      </c>
      <c r="C81" s="34">
        <v>13000</v>
      </c>
      <c r="D81" s="35">
        <v>5</v>
      </c>
      <c r="E81" s="32" t="s">
        <v>313</v>
      </c>
    </row>
    <row r="82" spans="1:5" ht="13.5">
      <c r="A82" s="14" t="s">
        <v>309</v>
      </c>
      <c r="B82" s="15">
        <f>ROUNDUP(C82*D82/1000,0)</f>
        <v>68</v>
      </c>
      <c r="C82" s="100">
        <v>6800</v>
      </c>
      <c r="D82" s="17">
        <v>10</v>
      </c>
      <c r="E82" s="14" t="s">
        <v>227</v>
      </c>
    </row>
    <row r="83" spans="1:5" ht="13.5">
      <c r="A83" s="14" t="s">
        <v>89</v>
      </c>
      <c r="B83" s="33">
        <f aca="true" t="shared" si="2" ref="B83:B91">ROUNDUP(C83*D83/1000,0)</f>
        <v>30</v>
      </c>
      <c r="C83" s="100">
        <v>3000</v>
      </c>
      <c r="D83" s="17">
        <v>10</v>
      </c>
      <c r="E83" s="14" t="s">
        <v>228</v>
      </c>
    </row>
    <row r="84" spans="1:5" ht="13.5">
      <c r="A84" s="28" t="s">
        <v>90</v>
      </c>
      <c r="B84" s="15">
        <f t="shared" si="2"/>
        <v>5</v>
      </c>
      <c r="C84" s="42">
        <v>5000</v>
      </c>
      <c r="D84" s="31">
        <v>1</v>
      </c>
      <c r="E84" s="28" t="s">
        <v>91</v>
      </c>
    </row>
    <row r="85" spans="1:5" ht="13.5">
      <c r="A85" s="28" t="s">
        <v>34</v>
      </c>
      <c r="B85" s="29">
        <f t="shared" si="2"/>
        <v>10</v>
      </c>
      <c r="C85" s="42">
        <v>1000</v>
      </c>
      <c r="D85" s="31">
        <v>10</v>
      </c>
      <c r="E85" s="28" t="s">
        <v>229</v>
      </c>
    </row>
    <row r="86" spans="1:5" ht="13.5">
      <c r="A86" s="18" t="s">
        <v>21</v>
      </c>
      <c r="B86" s="19">
        <f t="shared" si="2"/>
        <v>80</v>
      </c>
      <c r="C86" s="20">
        <v>80000</v>
      </c>
      <c r="D86" s="21">
        <v>1</v>
      </c>
      <c r="E86" s="18" t="s">
        <v>48</v>
      </c>
    </row>
    <row r="87" spans="1:5" ht="15" customHeight="1">
      <c r="A87" s="8" t="s">
        <v>230</v>
      </c>
      <c r="B87" s="9">
        <f>SUM(B88:B91)</f>
        <v>360</v>
      </c>
      <c r="C87" s="163"/>
      <c r="D87" s="164"/>
      <c r="E87" s="8"/>
    </row>
    <row r="88" spans="1:5" ht="13.5">
      <c r="A88" s="14" t="s">
        <v>20</v>
      </c>
      <c r="B88" s="15">
        <f>ROUNDUP(C88*D88/1000,0)</f>
        <v>80</v>
      </c>
      <c r="C88" s="100">
        <v>40000</v>
      </c>
      <c r="D88" s="17">
        <v>2</v>
      </c>
      <c r="E88" s="14" t="s">
        <v>231</v>
      </c>
    </row>
    <row r="89" spans="1:5" ht="13.5">
      <c r="A89" s="14" t="s">
        <v>94</v>
      </c>
      <c r="B89" s="15">
        <f>ROUNDUP(C89*D89/1000,0)</f>
        <v>30</v>
      </c>
      <c r="C89" s="100">
        <v>15000</v>
      </c>
      <c r="D89" s="17">
        <v>2</v>
      </c>
      <c r="E89" s="14"/>
    </row>
    <row r="90" spans="1:5" ht="13.5">
      <c r="A90" s="32" t="s">
        <v>93</v>
      </c>
      <c r="B90" s="33">
        <f>ROUNDUP(C90*D90/1000,0)</f>
        <v>70</v>
      </c>
      <c r="C90" s="34">
        <v>350</v>
      </c>
      <c r="D90" s="35">
        <v>200</v>
      </c>
      <c r="E90" s="32" t="s">
        <v>95</v>
      </c>
    </row>
    <row r="91" spans="1:5" ht="13.5">
      <c r="A91" s="18" t="s">
        <v>27</v>
      </c>
      <c r="B91" s="19">
        <f t="shared" si="2"/>
        <v>180</v>
      </c>
      <c r="C91" s="20">
        <v>180000</v>
      </c>
      <c r="D91" s="21">
        <v>1</v>
      </c>
      <c r="E91" s="18" t="s">
        <v>96</v>
      </c>
    </row>
    <row r="92" spans="1:5" ht="15" customHeight="1">
      <c r="A92" s="22" t="s">
        <v>22</v>
      </c>
      <c r="B92" s="23">
        <f>B93+B100+B107</f>
        <v>7854</v>
      </c>
      <c r="C92" s="167"/>
      <c r="D92" s="168"/>
      <c r="E92" s="22"/>
    </row>
    <row r="93" spans="1:5" ht="15" customHeight="1">
      <c r="A93" s="8" t="s">
        <v>97</v>
      </c>
      <c r="B93" s="9">
        <f>SUM(B94:B99)</f>
        <v>1778</v>
      </c>
      <c r="C93" s="163"/>
      <c r="D93" s="164"/>
      <c r="E93" s="8"/>
    </row>
    <row r="94" spans="1:5" ht="13.5">
      <c r="A94" s="32" t="s">
        <v>18</v>
      </c>
      <c r="B94" s="33">
        <f aca="true" t="shared" si="3" ref="B94:B99">ROUNDUP(C94*D94/1000,0)</f>
        <v>1000</v>
      </c>
      <c r="C94" s="34">
        <v>100000</v>
      </c>
      <c r="D94" s="35">
        <v>10</v>
      </c>
      <c r="E94" s="32" t="s">
        <v>232</v>
      </c>
    </row>
    <row r="95" spans="1:5" ht="13.5">
      <c r="A95" s="14" t="s">
        <v>35</v>
      </c>
      <c r="B95" s="15">
        <f t="shared" si="3"/>
        <v>176</v>
      </c>
      <c r="C95" s="100">
        <f>29260</f>
        <v>29260</v>
      </c>
      <c r="D95" s="17">
        <v>6</v>
      </c>
      <c r="E95" s="14" t="s">
        <v>164</v>
      </c>
    </row>
    <row r="96" spans="1:5" ht="13.5">
      <c r="A96" s="14" t="s">
        <v>20</v>
      </c>
      <c r="B96" s="15">
        <f t="shared" si="3"/>
        <v>130</v>
      </c>
      <c r="C96" s="34">
        <v>13000</v>
      </c>
      <c r="D96" s="35">
        <v>10</v>
      </c>
      <c r="E96" s="32" t="s">
        <v>233</v>
      </c>
    </row>
    <row r="97" spans="1:5" ht="13.5">
      <c r="A97" s="14" t="s">
        <v>98</v>
      </c>
      <c r="B97" s="15">
        <f t="shared" si="3"/>
        <v>272</v>
      </c>
      <c r="C97" s="100">
        <v>6800</v>
      </c>
      <c r="D97" s="17">
        <v>40</v>
      </c>
      <c r="E97" s="14" t="s">
        <v>181</v>
      </c>
    </row>
    <row r="98" spans="1:5" ht="13.5">
      <c r="A98" s="28" t="s">
        <v>90</v>
      </c>
      <c r="B98" s="15">
        <f t="shared" si="3"/>
        <v>20</v>
      </c>
      <c r="C98" s="42">
        <v>5000</v>
      </c>
      <c r="D98" s="31">
        <v>4</v>
      </c>
      <c r="E98" s="28" t="s">
        <v>100</v>
      </c>
    </row>
    <row r="99" spans="1:5" ht="13.5">
      <c r="A99" s="18" t="s">
        <v>27</v>
      </c>
      <c r="B99" s="19">
        <f t="shared" si="3"/>
        <v>180</v>
      </c>
      <c r="C99" s="20">
        <v>180000</v>
      </c>
      <c r="D99" s="21">
        <v>1</v>
      </c>
      <c r="E99" s="18" t="s">
        <v>96</v>
      </c>
    </row>
    <row r="100" spans="1:5" ht="15" customHeight="1">
      <c r="A100" s="8" t="s">
        <v>316</v>
      </c>
      <c r="B100" s="9">
        <f>SUM(B101:B106)</f>
        <v>2916</v>
      </c>
      <c r="C100" s="163"/>
      <c r="D100" s="164"/>
      <c r="E100" s="8"/>
    </row>
    <row r="101" spans="1:5" ht="13.5">
      <c r="A101" s="32" t="s">
        <v>18</v>
      </c>
      <c r="B101" s="33">
        <f aca="true" t="shared" si="4" ref="B101:B106">ROUNDUP(C101*D101/1000,0)</f>
        <v>1800</v>
      </c>
      <c r="C101" s="34">
        <v>100000</v>
      </c>
      <c r="D101" s="35">
        <v>18</v>
      </c>
      <c r="E101" s="32" t="s">
        <v>176</v>
      </c>
    </row>
    <row r="102" spans="1:5" ht="13.5">
      <c r="A102" s="14" t="s">
        <v>35</v>
      </c>
      <c r="B102" s="15">
        <f t="shared" si="4"/>
        <v>264</v>
      </c>
      <c r="C102" s="100">
        <f>29260</f>
        <v>29260</v>
      </c>
      <c r="D102" s="17">
        <v>9</v>
      </c>
      <c r="E102" s="14" t="s">
        <v>177</v>
      </c>
    </row>
    <row r="103" spans="1:5" ht="13.5">
      <c r="A103" s="14" t="s">
        <v>20</v>
      </c>
      <c r="B103" s="15">
        <f t="shared" si="4"/>
        <v>234</v>
      </c>
      <c r="C103" s="34">
        <v>13000</v>
      </c>
      <c r="D103" s="35">
        <v>18</v>
      </c>
      <c r="E103" s="32" t="s">
        <v>182</v>
      </c>
    </row>
    <row r="104" spans="1:5" ht="13.5">
      <c r="A104" s="14" t="s">
        <v>98</v>
      </c>
      <c r="B104" s="15">
        <f t="shared" si="4"/>
        <v>408</v>
      </c>
      <c r="C104" s="100">
        <v>6800</v>
      </c>
      <c r="D104" s="17">
        <v>60</v>
      </c>
      <c r="E104" s="14" t="s">
        <v>183</v>
      </c>
    </row>
    <row r="105" spans="1:5" ht="13.5">
      <c r="A105" s="28" t="s">
        <v>90</v>
      </c>
      <c r="B105" s="15">
        <f t="shared" si="4"/>
        <v>30</v>
      </c>
      <c r="C105" s="42">
        <v>5000</v>
      </c>
      <c r="D105" s="31">
        <v>6</v>
      </c>
      <c r="E105" s="28" t="s">
        <v>173</v>
      </c>
    </row>
    <row r="106" spans="1:5" ht="13.5">
      <c r="A106" s="18" t="s">
        <v>27</v>
      </c>
      <c r="B106" s="19">
        <f t="shared" si="4"/>
        <v>180</v>
      </c>
      <c r="C106" s="20">
        <v>180000</v>
      </c>
      <c r="D106" s="21">
        <v>1</v>
      </c>
      <c r="E106" s="18" t="s">
        <v>96</v>
      </c>
    </row>
    <row r="107" spans="1:5" ht="15" customHeight="1">
      <c r="A107" s="8" t="s">
        <v>101</v>
      </c>
      <c r="B107" s="9">
        <f>SUM(B108:B116)</f>
        <v>3160</v>
      </c>
      <c r="C107" s="163"/>
      <c r="D107" s="164"/>
      <c r="E107" s="8"/>
    </row>
    <row r="108" spans="1:5" ht="13.5">
      <c r="A108" s="32" t="s">
        <v>18</v>
      </c>
      <c r="B108" s="33">
        <f aca="true" t="shared" si="5" ref="B108:B113">ROUNDUP(C108*D108/1000,0)</f>
        <v>1200</v>
      </c>
      <c r="C108" s="34">
        <v>50000</v>
      </c>
      <c r="D108" s="35">
        <v>24</v>
      </c>
      <c r="E108" s="32" t="s">
        <v>234</v>
      </c>
    </row>
    <row r="109" spans="1:5" ht="13.5">
      <c r="A109" s="14" t="s">
        <v>35</v>
      </c>
      <c r="B109" s="15">
        <f t="shared" si="5"/>
        <v>703</v>
      </c>
      <c r="C109" s="100">
        <f>29260</f>
        <v>29260</v>
      </c>
      <c r="D109" s="17">
        <v>24</v>
      </c>
      <c r="E109" s="14" t="s">
        <v>165</v>
      </c>
    </row>
    <row r="110" spans="1:5" ht="13.5">
      <c r="A110" s="14" t="s">
        <v>20</v>
      </c>
      <c r="B110" s="15">
        <f t="shared" si="5"/>
        <v>312</v>
      </c>
      <c r="C110" s="34">
        <v>13000</v>
      </c>
      <c r="D110" s="35">
        <v>24</v>
      </c>
      <c r="E110" s="32" t="s">
        <v>318</v>
      </c>
    </row>
    <row r="111" spans="1:5" ht="13.5">
      <c r="A111" s="14" t="s">
        <v>104</v>
      </c>
      <c r="B111" s="15">
        <f t="shared" si="5"/>
        <v>408</v>
      </c>
      <c r="C111" s="100">
        <v>6800</v>
      </c>
      <c r="D111" s="17">
        <v>60</v>
      </c>
      <c r="E111" s="14" t="s">
        <v>183</v>
      </c>
    </row>
    <row r="112" spans="1:5" ht="13.5">
      <c r="A112" s="28" t="s">
        <v>105</v>
      </c>
      <c r="B112" s="15">
        <f t="shared" si="5"/>
        <v>30</v>
      </c>
      <c r="C112" s="42">
        <v>5000</v>
      </c>
      <c r="D112" s="31">
        <v>6</v>
      </c>
      <c r="E112" s="28" t="s">
        <v>173</v>
      </c>
    </row>
    <row r="113" spans="1:5" ht="13.5">
      <c r="A113" s="14" t="s">
        <v>106</v>
      </c>
      <c r="B113" s="15">
        <f t="shared" si="5"/>
        <v>189</v>
      </c>
      <c r="C113" s="100">
        <v>3150</v>
      </c>
      <c r="D113" s="17">
        <v>60</v>
      </c>
      <c r="E113" s="14" t="s">
        <v>319</v>
      </c>
    </row>
    <row r="114" spans="1:5" ht="13.5">
      <c r="A114" s="14" t="s">
        <v>102</v>
      </c>
      <c r="B114" s="15">
        <f>ROUNDUP(C114*D114/1000,0)</f>
        <v>78</v>
      </c>
      <c r="C114" s="100">
        <v>26000</v>
      </c>
      <c r="D114" s="17">
        <v>3</v>
      </c>
      <c r="E114" s="14" t="s">
        <v>174</v>
      </c>
    </row>
    <row r="115" spans="1:5" ht="13.5">
      <c r="A115" s="28" t="s">
        <v>103</v>
      </c>
      <c r="B115" s="29">
        <f>ROUNDUP(C115*D115/1000,0)</f>
        <v>60</v>
      </c>
      <c r="C115" s="42">
        <v>20000</v>
      </c>
      <c r="D115" s="31">
        <v>3</v>
      </c>
      <c r="E115" s="28" t="s">
        <v>175</v>
      </c>
    </row>
    <row r="116" spans="1:5" ht="13.5">
      <c r="A116" s="18" t="s">
        <v>27</v>
      </c>
      <c r="B116" s="19">
        <f>ROUNDUP(C116*D116/1000,0)</f>
        <v>180</v>
      </c>
      <c r="C116" s="20">
        <v>180000</v>
      </c>
      <c r="D116" s="21">
        <v>1</v>
      </c>
      <c r="E116" s="18" t="s">
        <v>29</v>
      </c>
    </row>
    <row r="117" spans="1:5" ht="15" customHeight="1">
      <c r="A117" s="22" t="s">
        <v>23</v>
      </c>
      <c r="B117" s="23">
        <f>B118+B122</f>
        <v>1043</v>
      </c>
      <c r="C117" s="169">
        <f>B117/$B$92</f>
        <v>0.13279857397504458</v>
      </c>
      <c r="D117" s="170"/>
      <c r="E117" s="38" t="s">
        <v>32</v>
      </c>
    </row>
    <row r="118" spans="1:5" ht="15" customHeight="1">
      <c r="A118" s="8" t="s">
        <v>107</v>
      </c>
      <c r="B118" s="9">
        <f>SUM(B119:B121)</f>
        <v>398</v>
      </c>
      <c r="C118" s="163"/>
      <c r="D118" s="164"/>
      <c r="E118" s="8"/>
    </row>
    <row r="119" spans="1:5" ht="13.5">
      <c r="A119" s="10" t="s">
        <v>25</v>
      </c>
      <c r="B119" s="11">
        <f>ROUNDUP(C119*D119/1000,0)</f>
        <v>320</v>
      </c>
      <c r="C119" s="12">
        <v>320000</v>
      </c>
      <c r="D119" s="13">
        <v>1</v>
      </c>
      <c r="E119" s="10"/>
    </row>
    <row r="120" spans="1:5" ht="13.5">
      <c r="A120" s="28" t="s">
        <v>49</v>
      </c>
      <c r="B120" s="29">
        <f>ROUNDUP(C120*D120/1000,0)</f>
        <v>7</v>
      </c>
      <c r="C120" s="42">
        <v>7000</v>
      </c>
      <c r="D120" s="31">
        <v>1</v>
      </c>
      <c r="E120" s="28"/>
    </row>
    <row r="121" spans="1:5" ht="13.5">
      <c r="A121" s="28" t="s">
        <v>50</v>
      </c>
      <c r="B121" s="29">
        <f>ROUNDUP(C121*D121/1000,0)</f>
        <v>71</v>
      </c>
      <c r="C121" s="42">
        <v>7800</v>
      </c>
      <c r="D121" s="31">
        <v>9</v>
      </c>
      <c r="E121" s="28"/>
    </row>
    <row r="122" spans="1:5" ht="15" customHeight="1">
      <c r="A122" s="8" t="s">
        <v>108</v>
      </c>
      <c r="B122" s="9">
        <f>SUM(B123:B126)</f>
        <v>645</v>
      </c>
      <c r="C122" s="163"/>
      <c r="D122" s="164"/>
      <c r="E122" s="8"/>
    </row>
    <row r="123" spans="1:5" ht="13.5">
      <c r="A123" s="14" t="s">
        <v>20</v>
      </c>
      <c r="B123" s="15">
        <f>ROUNDUP(C123*D123/1000,0)</f>
        <v>400</v>
      </c>
      <c r="C123" s="100">
        <v>80000</v>
      </c>
      <c r="D123" s="17">
        <v>5</v>
      </c>
      <c r="E123" s="14" t="s">
        <v>246</v>
      </c>
    </row>
    <row r="124" spans="1:5" ht="13.5">
      <c r="A124" s="32" t="s">
        <v>238</v>
      </c>
      <c r="B124" s="33">
        <f>ROUNDUP(C124*D124/1000,0)</f>
        <v>15</v>
      </c>
      <c r="C124" s="34">
        <v>15000</v>
      </c>
      <c r="D124" s="35">
        <v>1</v>
      </c>
      <c r="E124" s="32"/>
    </row>
    <row r="125" spans="1:5" ht="13.5">
      <c r="A125" s="32" t="s">
        <v>155</v>
      </c>
      <c r="B125" s="33">
        <f>ROUNDUP(C125*D125/1000,0)</f>
        <v>50</v>
      </c>
      <c r="C125" s="34">
        <v>50</v>
      </c>
      <c r="D125" s="35">
        <v>1000</v>
      </c>
      <c r="E125" s="32" t="s">
        <v>156</v>
      </c>
    </row>
    <row r="126" spans="1:5" ht="13.5">
      <c r="A126" s="135" t="s">
        <v>27</v>
      </c>
      <c r="B126" s="136">
        <f>ROUNDUP(C126*D126/1000,0)</f>
        <v>180</v>
      </c>
      <c r="C126" s="137">
        <v>180000</v>
      </c>
      <c r="D126" s="21">
        <v>1</v>
      </c>
      <c r="E126" s="135" t="s">
        <v>96</v>
      </c>
    </row>
    <row r="127" spans="1:5" ht="15" customHeight="1">
      <c r="A127" s="108" t="s">
        <v>153</v>
      </c>
      <c r="B127" s="109">
        <f>B128</f>
        <v>17923</v>
      </c>
      <c r="C127" s="177">
        <f>B129/B128</f>
        <v>0.5191095240752106</v>
      </c>
      <c r="D127" s="178"/>
      <c r="E127" s="110" t="s">
        <v>149</v>
      </c>
    </row>
    <row r="128" spans="1:5" ht="15" customHeight="1">
      <c r="A128" s="22" t="s">
        <v>109</v>
      </c>
      <c r="B128" s="23">
        <f>B129+B152</f>
        <v>17923</v>
      </c>
      <c r="C128" s="169"/>
      <c r="D128" s="170"/>
      <c r="E128" s="38"/>
    </row>
    <row r="129" spans="1:5" ht="15" customHeight="1">
      <c r="A129" s="8" t="s">
        <v>111</v>
      </c>
      <c r="B129" s="9">
        <f>SUM(B130:B151)</f>
        <v>9304</v>
      </c>
      <c r="C129" s="163"/>
      <c r="D129" s="164"/>
      <c r="E129" s="8"/>
    </row>
    <row r="130" spans="1:5" ht="13.5">
      <c r="A130" s="10" t="s">
        <v>118</v>
      </c>
      <c r="B130" s="43">
        <f>ROUNDUP(C130*D130/1000,0)</f>
        <v>2250</v>
      </c>
      <c r="C130" s="12">
        <v>250000</v>
      </c>
      <c r="D130" s="13">
        <v>9</v>
      </c>
      <c r="E130" s="32" t="s">
        <v>235</v>
      </c>
    </row>
    <row r="131" spans="1:5" ht="13.5">
      <c r="A131" s="32" t="s">
        <v>110</v>
      </c>
      <c r="B131" s="48">
        <f>ROUNDUP(C131*D131/1000,0)</f>
        <v>320</v>
      </c>
      <c r="C131" s="34">
        <f>C130/22/8*1.25</f>
        <v>1775.568181818182</v>
      </c>
      <c r="D131" s="35">
        <v>180</v>
      </c>
      <c r="E131" s="32" t="s">
        <v>236</v>
      </c>
    </row>
    <row r="132" spans="1:5" s="51" customFormat="1" ht="13.5">
      <c r="A132" s="47" t="s">
        <v>112</v>
      </c>
      <c r="B132" s="48">
        <f>ROUNDUP(C132*D132/1000,0)</f>
        <v>7</v>
      </c>
      <c r="C132" s="49">
        <v>6300</v>
      </c>
      <c r="D132" s="50">
        <v>1</v>
      </c>
      <c r="E132" s="47" t="s">
        <v>38</v>
      </c>
    </row>
    <row r="133" spans="1:5" ht="13.5">
      <c r="A133" s="32" t="s">
        <v>113</v>
      </c>
      <c r="B133" s="41">
        <f aca="true" t="shared" si="6" ref="B133:B141">ROUNDUP(C133*D133/1000,0)</f>
        <v>113</v>
      </c>
      <c r="C133" s="34">
        <f>250000*9*0.05</f>
        <v>112500</v>
      </c>
      <c r="D133" s="35">
        <v>1</v>
      </c>
      <c r="E133" s="32" t="s">
        <v>200</v>
      </c>
    </row>
    <row r="134" spans="1:5" ht="13.5">
      <c r="A134" s="32" t="s">
        <v>114</v>
      </c>
      <c r="B134" s="41">
        <f t="shared" si="6"/>
        <v>18</v>
      </c>
      <c r="C134" s="34">
        <f>250000*9*0.0079</f>
        <v>17775</v>
      </c>
      <c r="D134" s="35">
        <v>1</v>
      </c>
      <c r="E134" s="32" t="s">
        <v>283</v>
      </c>
    </row>
    <row r="135" spans="1:5" ht="13.5">
      <c r="A135" s="32" t="s">
        <v>280</v>
      </c>
      <c r="B135" s="41">
        <f t="shared" si="6"/>
        <v>5</v>
      </c>
      <c r="C135" s="34">
        <f>250000*9*0.002</f>
        <v>4500</v>
      </c>
      <c r="D135" s="35">
        <v>1</v>
      </c>
      <c r="E135" s="32" t="s">
        <v>354</v>
      </c>
    </row>
    <row r="136" spans="1:5" ht="13.5">
      <c r="A136" s="32" t="s">
        <v>279</v>
      </c>
      <c r="B136" s="41">
        <f t="shared" si="6"/>
        <v>46</v>
      </c>
      <c r="C136" s="34">
        <f>250000*2*90.91/1000</f>
        <v>45455</v>
      </c>
      <c r="D136" s="35">
        <v>1</v>
      </c>
      <c r="E136" s="32" t="s">
        <v>355</v>
      </c>
    </row>
    <row r="137" spans="1:5" ht="13.5">
      <c r="A137" s="32" t="s">
        <v>281</v>
      </c>
      <c r="B137" s="41">
        <f t="shared" si="6"/>
        <v>161</v>
      </c>
      <c r="C137" s="34">
        <f>250000*7*91.5/1000</f>
        <v>160125</v>
      </c>
      <c r="D137" s="35">
        <v>1</v>
      </c>
      <c r="E137" s="32" t="s">
        <v>356</v>
      </c>
    </row>
    <row r="138" spans="1:5" ht="13.5">
      <c r="A138" s="32" t="s">
        <v>115</v>
      </c>
      <c r="B138" s="41">
        <f t="shared" si="6"/>
        <v>16</v>
      </c>
      <c r="C138" s="34">
        <f>250000*9*0.007</f>
        <v>15750</v>
      </c>
      <c r="D138" s="35">
        <v>1</v>
      </c>
      <c r="E138" s="32" t="s">
        <v>357</v>
      </c>
    </row>
    <row r="139" spans="1:5" ht="13.5">
      <c r="A139" s="32" t="s">
        <v>116</v>
      </c>
      <c r="B139" s="41">
        <f t="shared" si="6"/>
        <v>9</v>
      </c>
      <c r="C139" s="34">
        <f>300000*9*0.003</f>
        <v>8100</v>
      </c>
      <c r="D139" s="35">
        <v>1</v>
      </c>
      <c r="E139" s="32" t="s">
        <v>201</v>
      </c>
    </row>
    <row r="140" spans="1:5" ht="13.5">
      <c r="A140" s="18" t="s">
        <v>117</v>
      </c>
      <c r="B140" s="113">
        <f t="shared" si="6"/>
        <v>1</v>
      </c>
      <c r="C140" s="20">
        <f>250000*9*0.00002</f>
        <v>45.00000000000001</v>
      </c>
      <c r="D140" s="21">
        <v>1</v>
      </c>
      <c r="E140" s="18" t="s">
        <v>358</v>
      </c>
    </row>
    <row r="141" spans="1:5" ht="13.5">
      <c r="A141" s="32" t="s">
        <v>119</v>
      </c>
      <c r="B141" s="41">
        <f t="shared" si="6"/>
        <v>4860</v>
      </c>
      <c r="C141" s="112">
        <v>180000</v>
      </c>
      <c r="D141" s="35">
        <v>27</v>
      </c>
      <c r="E141" s="32" t="s">
        <v>257</v>
      </c>
    </row>
    <row r="142" spans="1:5" ht="13.5">
      <c r="A142" s="32" t="s">
        <v>110</v>
      </c>
      <c r="B142" s="48">
        <f>ROUNDUP(C142*D142/1000,0)</f>
        <v>691</v>
      </c>
      <c r="C142" s="34">
        <f>C141/22/8*1.25</f>
        <v>1278.409090909091</v>
      </c>
      <c r="D142" s="35">
        <v>540</v>
      </c>
      <c r="E142" s="32" t="s">
        <v>258</v>
      </c>
    </row>
    <row r="143" spans="1:5" s="51" customFormat="1" ht="13.5">
      <c r="A143" s="47" t="s">
        <v>112</v>
      </c>
      <c r="B143" s="55">
        <f aca="true" t="shared" si="7" ref="B143:B151">ROUNDUP(C143*D143/1000,0)</f>
        <v>19</v>
      </c>
      <c r="C143" s="56">
        <v>6300</v>
      </c>
      <c r="D143" s="57">
        <v>3</v>
      </c>
      <c r="E143" s="54" t="s">
        <v>38</v>
      </c>
    </row>
    <row r="144" spans="1:5" ht="13.5">
      <c r="A144" s="32" t="s">
        <v>113</v>
      </c>
      <c r="B144" s="41">
        <f t="shared" si="7"/>
        <v>243</v>
      </c>
      <c r="C144" s="34">
        <f>180000*9*0.05</f>
        <v>81000</v>
      </c>
      <c r="D144" s="35">
        <v>3</v>
      </c>
      <c r="E144" s="32" t="s">
        <v>205</v>
      </c>
    </row>
    <row r="145" spans="1:5" ht="13.5">
      <c r="A145" s="32" t="s">
        <v>114</v>
      </c>
      <c r="B145" s="41">
        <f t="shared" si="7"/>
        <v>39</v>
      </c>
      <c r="C145" s="34">
        <f>180000*9*0.0079</f>
        <v>12798.000000000002</v>
      </c>
      <c r="D145" s="35">
        <v>3</v>
      </c>
      <c r="E145" s="32" t="s">
        <v>282</v>
      </c>
    </row>
    <row r="146" spans="1:5" ht="13.5">
      <c r="A146" s="32" t="s">
        <v>280</v>
      </c>
      <c r="B146" s="41">
        <f t="shared" si="7"/>
        <v>10</v>
      </c>
      <c r="C146" s="34">
        <f>180000*9*0.002</f>
        <v>3240</v>
      </c>
      <c r="D146" s="35">
        <v>3</v>
      </c>
      <c r="E146" s="32" t="s">
        <v>359</v>
      </c>
    </row>
    <row r="147" spans="1:5" ht="13.5">
      <c r="A147" s="32" t="s">
        <v>279</v>
      </c>
      <c r="B147" s="41">
        <f t="shared" si="7"/>
        <v>99</v>
      </c>
      <c r="C147" s="34">
        <f>180000*2*90.91/1000</f>
        <v>32727.6</v>
      </c>
      <c r="D147" s="35">
        <v>3</v>
      </c>
      <c r="E147" s="32" t="s">
        <v>360</v>
      </c>
    </row>
    <row r="148" spans="1:5" ht="13.5">
      <c r="A148" s="32" t="s">
        <v>281</v>
      </c>
      <c r="B148" s="41">
        <f t="shared" si="7"/>
        <v>346</v>
      </c>
      <c r="C148" s="34">
        <f>180000*7*91.5/1000</f>
        <v>115290</v>
      </c>
      <c r="D148" s="35">
        <v>3</v>
      </c>
      <c r="E148" s="32" t="s">
        <v>361</v>
      </c>
    </row>
    <row r="149" spans="1:5" ht="13.5">
      <c r="A149" s="32" t="s">
        <v>115</v>
      </c>
      <c r="B149" s="41">
        <f t="shared" si="7"/>
        <v>35</v>
      </c>
      <c r="C149" s="34">
        <f>180000*9*0.007</f>
        <v>11340</v>
      </c>
      <c r="D149" s="35">
        <v>3</v>
      </c>
      <c r="E149" s="32" t="s">
        <v>362</v>
      </c>
    </row>
    <row r="150" spans="1:5" ht="13.5">
      <c r="A150" s="32" t="s">
        <v>116</v>
      </c>
      <c r="B150" s="41">
        <f t="shared" si="7"/>
        <v>15</v>
      </c>
      <c r="C150" s="34">
        <f>180000*9*0.003</f>
        <v>4860</v>
      </c>
      <c r="D150" s="35">
        <v>3</v>
      </c>
      <c r="E150" s="32" t="s">
        <v>218</v>
      </c>
    </row>
    <row r="151" spans="1:5" ht="13.5">
      <c r="A151" s="32" t="s">
        <v>117</v>
      </c>
      <c r="B151" s="52">
        <f t="shared" si="7"/>
        <v>1</v>
      </c>
      <c r="C151" s="100">
        <f>180000*9*0.00002</f>
        <v>32.400000000000006</v>
      </c>
      <c r="D151" s="17">
        <v>3</v>
      </c>
      <c r="E151" s="14" t="s">
        <v>363</v>
      </c>
    </row>
    <row r="152" spans="1:5" ht="15" customHeight="1">
      <c r="A152" s="8" t="s">
        <v>146</v>
      </c>
      <c r="B152" s="9">
        <f>B153+B165</f>
        <v>8619</v>
      </c>
      <c r="C152" s="163"/>
      <c r="D152" s="164"/>
      <c r="E152" s="8"/>
    </row>
    <row r="153" spans="1:5" ht="13.5">
      <c r="A153" s="14" t="s">
        <v>120</v>
      </c>
      <c r="B153" s="15">
        <f>SUM(B154:B164)</f>
        <v>2065</v>
      </c>
      <c r="C153" s="100"/>
      <c r="D153" s="17"/>
      <c r="E153" s="14"/>
    </row>
    <row r="154" spans="1:5" ht="13.5">
      <c r="A154" s="14" t="s">
        <v>121</v>
      </c>
      <c r="B154" s="15">
        <f aca="true" t="shared" si="8" ref="B154:B164">ROUNDUP(C154*D154/1000,0)</f>
        <v>585</v>
      </c>
      <c r="C154" s="100">
        <v>65000</v>
      </c>
      <c r="D154" s="17">
        <v>9</v>
      </c>
      <c r="E154" s="14" t="s">
        <v>184</v>
      </c>
    </row>
    <row r="155" spans="1:5" ht="13.5">
      <c r="A155" s="14" t="s">
        <v>126</v>
      </c>
      <c r="B155" s="15">
        <f t="shared" si="8"/>
        <v>216</v>
      </c>
      <c r="C155" s="100">
        <v>24000</v>
      </c>
      <c r="D155" s="17">
        <v>9</v>
      </c>
      <c r="E155" s="14" t="s">
        <v>185</v>
      </c>
    </row>
    <row r="156" spans="1:5" ht="13.5">
      <c r="A156" s="14" t="s">
        <v>122</v>
      </c>
      <c r="B156" s="15">
        <f t="shared" si="8"/>
        <v>270</v>
      </c>
      <c r="C156" s="100">
        <v>30000</v>
      </c>
      <c r="D156" s="17">
        <v>9</v>
      </c>
      <c r="E156" s="14" t="s">
        <v>302</v>
      </c>
    </row>
    <row r="157" spans="1:5" ht="13.5">
      <c r="A157" s="14" t="s">
        <v>30</v>
      </c>
      <c r="B157" s="15">
        <f t="shared" si="8"/>
        <v>216</v>
      </c>
      <c r="C157" s="100">
        <v>24000</v>
      </c>
      <c r="D157" s="17">
        <v>9</v>
      </c>
      <c r="E157" s="14" t="s">
        <v>322</v>
      </c>
    </row>
    <row r="158" spans="1:5" ht="13.5">
      <c r="A158" s="14" t="s">
        <v>74</v>
      </c>
      <c r="B158" s="15">
        <f t="shared" si="8"/>
        <v>234</v>
      </c>
      <c r="C158" s="100">
        <f>26000*1</f>
        <v>26000</v>
      </c>
      <c r="D158" s="17">
        <v>9</v>
      </c>
      <c r="E158" s="14" t="s">
        <v>75</v>
      </c>
    </row>
    <row r="159" spans="1:5" ht="13.5">
      <c r="A159" s="14" t="s">
        <v>76</v>
      </c>
      <c r="B159" s="15">
        <f t="shared" si="8"/>
        <v>92</v>
      </c>
      <c r="C159" s="100">
        <f>10200*1</f>
        <v>10200</v>
      </c>
      <c r="D159" s="17">
        <v>9</v>
      </c>
      <c r="E159" s="14" t="s">
        <v>77</v>
      </c>
    </row>
    <row r="160" spans="1:5" ht="13.5">
      <c r="A160" s="14" t="s">
        <v>124</v>
      </c>
      <c r="B160" s="15">
        <f t="shared" si="8"/>
        <v>20</v>
      </c>
      <c r="C160" s="100">
        <v>2200</v>
      </c>
      <c r="D160" s="17">
        <v>9</v>
      </c>
      <c r="E160" s="14" t="s">
        <v>125</v>
      </c>
    </row>
    <row r="161" spans="1:5" ht="13.5">
      <c r="A161" s="14" t="s">
        <v>12</v>
      </c>
      <c r="B161" s="15">
        <f t="shared" si="8"/>
        <v>108</v>
      </c>
      <c r="C161" s="100">
        <v>12000</v>
      </c>
      <c r="D161" s="17">
        <v>9</v>
      </c>
      <c r="E161" s="14"/>
    </row>
    <row r="162" spans="1:5" ht="13.5">
      <c r="A162" s="14" t="s">
        <v>13</v>
      </c>
      <c r="B162" s="15">
        <f t="shared" si="8"/>
        <v>90</v>
      </c>
      <c r="C162" s="100">
        <v>10000</v>
      </c>
      <c r="D162" s="17">
        <v>9</v>
      </c>
      <c r="E162" s="14"/>
    </row>
    <row r="163" spans="1:5" ht="13.5">
      <c r="A163" s="14" t="s">
        <v>239</v>
      </c>
      <c r="B163" s="15">
        <f t="shared" si="8"/>
        <v>108</v>
      </c>
      <c r="C163" s="100">
        <v>12000</v>
      </c>
      <c r="D163" s="17">
        <v>9</v>
      </c>
      <c r="E163" s="14" t="s">
        <v>240</v>
      </c>
    </row>
    <row r="164" spans="1:5" ht="13.5">
      <c r="A164" s="14" t="s">
        <v>79</v>
      </c>
      <c r="B164" s="15">
        <f t="shared" si="8"/>
        <v>126</v>
      </c>
      <c r="C164" s="100">
        <v>14000</v>
      </c>
      <c r="D164" s="17">
        <v>9</v>
      </c>
      <c r="E164" s="111" t="s">
        <v>323</v>
      </c>
    </row>
    <row r="165" spans="1:5" ht="13.5">
      <c r="A165" s="32" t="s">
        <v>128</v>
      </c>
      <c r="B165" s="33">
        <f>SUM(B166:B180)</f>
        <v>6554</v>
      </c>
      <c r="C165" s="34"/>
      <c r="D165" s="35"/>
      <c r="E165" s="32"/>
    </row>
    <row r="166" spans="1:5" ht="13.5">
      <c r="A166" s="32" t="s">
        <v>129</v>
      </c>
      <c r="B166" s="15">
        <f>ROUNDUP(C166*D166/1000,0)</f>
        <v>1350</v>
      </c>
      <c r="C166" s="100">
        <v>150000</v>
      </c>
      <c r="D166" s="17">
        <v>9</v>
      </c>
      <c r="E166" s="32" t="s">
        <v>186</v>
      </c>
    </row>
    <row r="167" spans="1:5" ht="13.5">
      <c r="A167" s="32" t="s">
        <v>130</v>
      </c>
      <c r="B167" s="15">
        <f aca="true" t="shared" si="9" ref="B167:B179">ROUNDUP(C167*D167/1000,0)</f>
        <v>234</v>
      </c>
      <c r="C167" s="100">
        <v>26000</v>
      </c>
      <c r="D167" s="17">
        <v>9</v>
      </c>
      <c r="E167" s="32" t="s">
        <v>187</v>
      </c>
    </row>
    <row r="168" spans="1:5" ht="13.5">
      <c r="A168" s="32" t="s">
        <v>133</v>
      </c>
      <c r="B168" s="15">
        <f t="shared" si="9"/>
        <v>810</v>
      </c>
      <c r="C168" s="100">
        <v>90000</v>
      </c>
      <c r="D168" s="17">
        <v>9</v>
      </c>
      <c r="E168" s="32" t="s">
        <v>159</v>
      </c>
    </row>
    <row r="169" spans="1:5" ht="13.5">
      <c r="A169" s="32" t="s">
        <v>132</v>
      </c>
      <c r="B169" s="15">
        <f t="shared" si="9"/>
        <v>630</v>
      </c>
      <c r="C169" s="100">
        <v>70000</v>
      </c>
      <c r="D169" s="17">
        <v>9</v>
      </c>
      <c r="E169" s="32" t="s">
        <v>188</v>
      </c>
    </row>
    <row r="170" spans="1:5" ht="13.5">
      <c r="A170" s="32" t="s">
        <v>138</v>
      </c>
      <c r="B170" s="33">
        <f t="shared" si="9"/>
        <v>80</v>
      </c>
      <c r="C170" s="34">
        <v>20000</v>
      </c>
      <c r="D170" s="35">
        <v>4</v>
      </c>
      <c r="E170" s="32" t="s">
        <v>189</v>
      </c>
    </row>
    <row r="171" spans="1:5" ht="13.5">
      <c r="A171" s="32" t="s">
        <v>134</v>
      </c>
      <c r="B171" s="33">
        <f t="shared" si="9"/>
        <v>240</v>
      </c>
      <c r="C171" s="34">
        <v>60000</v>
      </c>
      <c r="D171" s="35">
        <v>4</v>
      </c>
      <c r="E171" s="32" t="s">
        <v>139</v>
      </c>
    </row>
    <row r="172" spans="1:5" ht="13.5">
      <c r="A172" s="32" t="s">
        <v>141</v>
      </c>
      <c r="B172" s="33">
        <f>ROUNDUP(C172*D172/1000,0)</f>
        <v>50</v>
      </c>
      <c r="C172" s="34">
        <v>50000</v>
      </c>
      <c r="D172" s="35">
        <v>1</v>
      </c>
      <c r="E172" s="32"/>
    </row>
    <row r="173" spans="1:5" ht="13.5">
      <c r="A173" s="32" t="s">
        <v>140</v>
      </c>
      <c r="B173" s="33">
        <f t="shared" si="9"/>
        <v>100</v>
      </c>
      <c r="C173" s="34">
        <v>100000</v>
      </c>
      <c r="D173" s="35">
        <v>1</v>
      </c>
      <c r="E173" s="32" t="s">
        <v>142</v>
      </c>
    </row>
    <row r="174" spans="1:5" ht="13.5">
      <c r="A174" s="32" t="s">
        <v>135</v>
      </c>
      <c r="B174" s="33">
        <f t="shared" si="9"/>
        <v>100</v>
      </c>
      <c r="C174" s="34">
        <v>100000</v>
      </c>
      <c r="D174" s="35">
        <v>1</v>
      </c>
      <c r="E174" s="32" t="s">
        <v>143</v>
      </c>
    </row>
    <row r="175" spans="1:5" ht="13.5">
      <c r="A175" s="32" t="s">
        <v>137</v>
      </c>
      <c r="B175" s="33">
        <f t="shared" si="9"/>
        <v>20</v>
      </c>
      <c r="C175" s="34">
        <v>20000</v>
      </c>
      <c r="D175" s="35">
        <v>1</v>
      </c>
      <c r="E175" s="32" t="s">
        <v>144</v>
      </c>
    </row>
    <row r="176" spans="1:5" ht="13.5">
      <c r="A176" s="32" t="s">
        <v>145</v>
      </c>
      <c r="B176" s="33">
        <f t="shared" si="9"/>
        <v>1800</v>
      </c>
      <c r="C176" s="34">
        <v>200000</v>
      </c>
      <c r="D176" s="35">
        <v>9</v>
      </c>
      <c r="E176" s="32" t="s">
        <v>190</v>
      </c>
    </row>
    <row r="177" spans="1:5" ht="13.5">
      <c r="A177" s="32" t="s">
        <v>248</v>
      </c>
      <c r="B177" s="138">
        <f t="shared" si="9"/>
        <v>480</v>
      </c>
      <c r="C177" s="34">
        <v>120000</v>
      </c>
      <c r="D177" s="35">
        <v>4</v>
      </c>
      <c r="E177" s="14" t="s">
        <v>148</v>
      </c>
    </row>
    <row r="178" spans="1:5" ht="13.5">
      <c r="A178" s="32" t="s">
        <v>249</v>
      </c>
      <c r="B178" s="138">
        <f t="shared" si="9"/>
        <v>90</v>
      </c>
      <c r="C178" s="34">
        <v>30000</v>
      </c>
      <c r="D178" s="35">
        <v>3</v>
      </c>
      <c r="E178" s="14" t="s">
        <v>250</v>
      </c>
    </row>
    <row r="179" spans="1:5" ht="13.5">
      <c r="A179" s="14" t="s">
        <v>247</v>
      </c>
      <c r="B179" s="15">
        <f t="shared" si="9"/>
        <v>480</v>
      </c>
      <c r="C179" s="100">
        <v>120000</v>
      </c>
      <c r="D179" s="17">
        <v>4</v>
      </c>
      <c r="E179" s="14" t="s">
        <v>148</v>
      </c>
    </row>
    <row r="180" spans="1:5" ht="14.25" thickBot="1">
      <c r="A180" s="18" t="s">
        <v>136</v>
      </c>
      <c r="B180" s="19">
        <f>ROUNDUP(C180*D180/1000,0)</f>
        <v>90</v>
      </c>
      <c r="C180" s="20">
        <v>30000</v>
      </c>
      <c r="D180" s="21">
        <v>3</v>
      </c>
      <c r="E180" s="18" t="s">
        <v>191</v>
      </c>
    </row>
    <row r="181" spans="1:5" ht="15" customHeight="1">
      <c r="A181" s="26" t="s">
        <v>154</v>
      </c>
      <c r="B181" s="27">
        <f>B4+B127</f>
        <v>42331</v>
      </c>
      <c r="C181" s="171"/>
      <c r="D181" s="172"/>
      <c r="E181" s="26"/>
    </row>
    <row r="182" spans="1:5" ht="15" customHeight="1">
      <c r="A182" s="7" t="s">
        <v>31</v>
      </c>
      <c r="B182" s="44">
        <f>ROUNDDOWN(B181*0.08,0)</f>
        <v>3386</v>
      </c>
      <c r="C182" s="173"/>
      <c r="D182" s="174"/>
      <c r="E182" s="6"/>
    </row>
    <row r="183" spans="1:5" ht="23.25" customHeight="1" thickBot="1">
      <c r="A183" s="24" t="s">
        <v>33</v>
      </c>
      <c r="B183" s="25">
        <f>B181+B182</f>
        <v>45717</v>
      </c>
      <c r="C183" s="175"/>
      <c r="D183" s="176"/>
      <c r="E183" s="39"/>
    </row>
  </sheetData>
  <sheetProtection/>
  <mergeCells count="26">
    <mergeCell ref="C183:D183"/>
    <mergeCell ref="C118:D118"/>
    <mergeCell ref="C122:D122"/>
    <mergeCell ref="C127:D127"/>
    <mergeCell ref="C128:D128"/>
    <mergeCell ref="C129:D129"/>
    <mergeCell ref="C152:D152"/>
    <mergeCell ref="C93:D93"/>
    <mergeCell ref="C100:D100"/>
    <mergeCell ref="C107:D107"/>
    <mergeCell ref="C117:D117"/>
    <mergeCell ref="C181:D181"/>
    <mergeCell ref="C182:D182"/>
    <mergeCell ref="C60:D60"/>
    <mergeCell ref="C61:D61"/>
    <mergeCell ref="C68:D68"/>
    <mergeCell ref="C77:D77"/>
    <mergeCell ref="C87:D87"/>
    <mergeCell ref="C92:D92"/>
    <mergeCell ref="C62:D62"/>
    <mergeCell ref="A1:E1"/>
    <mergeCell ref="C3:D3"/>
    <mergeCell ref="C4:D4"/>
    <mergeCell ref="C5:D5"/>
    <mergeCell ref="C6:D6"/>
    <mergeCell ref="C39:D39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&amp;R様式第2号&amp;10
&amp;A　&amp;P／&amp;N</oddHeader>
    <oddFooter>&amp;C&amp;10&amp;A　&amp;P／&amp;N</oddFooter>
  </headerFooter>
  <rowBreaks count="2" manualBreakCount="2">
    <brk id="67" max="255" man="1"/>
    <brk id="12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view="pageBreakPreview" zoomScaleSheetLayoutView="100" workbookViewId="0" topLeftCell="A73">
      <selection activeCell="C15" sqref="C15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40" customWidth="1"/>
  </cols>
  <sheetData>
    <row r="1" spans="1:5" ht="17.25">
      <c r="A1" s="154" t="s">
        <v>268</v>
      </c>
      <c r="B1" s="154"/>
      <c r="C1" s="154"/>
      <c r="D1" s="154"/>
      <c r="E1" s="154"/>
    </row>
    <row r="2" spans="1:5" ht="18" thickBot="1">
      <c r="A2" s="46" t="s">
        <v>63</v>
      </c>
      <c r="B2" s="45"/>
      <c r="C2" s="45"/>
      <c r="D2" s="45"/>
      <c r="E2" s="45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ht="15" customHeight="1" thickBot="1">
      <c r="A4" s="105" t="s">
        <v>152</v>
      </c>
      <c r="B4" s="106">
        <f>B5+B56</f>
        <v>26884</v>
      </c>
      <c r="C4" s="157">
        <f>B4/B175</f>
        <v>0.5350156222014368</v>
      </c>
      <c r="D4" s="158"/>
      <c r="E4" s="107" t="s">
        <v>178</v>
      </c>
    </row>
    <row r="5" spans="1:5" ht="15" customHeight="1">
      <c r="A5" s="1" t="s">
        <v>5</v>
      </c>
      <c r="B5" s="4">
        <f>B6+B36</f>
        <v>12391</v>
      </c>
      <c r="C5" s="159">
        <f>B5/$B$175</f>
        <v>0.24659197197954189</v>
      </c>
      <c r="D5" s="160"/>
      <c r="E5" s="36" t="s">
        <v>150</v>
      </c>
    </row>
    <row r="6" spans="1:5" ht="15" customHeight="1" thickBot="1">
      <c r="A6" s="8" t="s">
        <v>0</v>
      </c>
      <c r="B6" s="9">
        <f>SUM(B7:B35)</f>
        <v>9962</v>
      </c>
      <c r="C6" s="161">
        <f>B6/$B$175</f>
        <v>0.19825270154629943</v>
      </c>
      <c r="D6" s="162"/>
      <c r="E6" s="37" t="s">
        <v>151</v>
      </c>
    </row>
    <row r="7" spans="1:5" ht="13.5">
      <c r="A7" s="10" t="s">
        <v>46</v>
      </c>
      <c r="B7" s="43">
        <f>ROUNDUP(C7*D7/1000,0)</f>
        <v>3600</v>
      </c>
      <c r="C7" s="12">
        <v>300000</v>
      </c>
      <c r="D7" s="13">
        <v>12</v>
      </c>
      <c r="E7" s="32" t="s">
        <v>64</v>
      </c>
    </row>
    <row r="8" spans="1:5" ht="13.5">
      <c r="A8" s="32" t="s">
        <v>51</v>
      </c>
      <c r="B8" s="48">
        <f>ROUNDUP(C8*D8/1000,0)</f>
        <v>384</v>
      </c>
      <c r="C8" s="34">
        <f>C7/22/8*1.25</f>
        <v>2130.681818181818</v>
      </c>
      <c r="D8" s="35">
        <v>180</v>
      </c>
      <c r="E8" s="32" t="s">
        <v>171</v>
      </c>
    </row>
    <row r="9" spans="1:5" s="51" customFormat="1" ht="13.5">
      <c r="A9" s="47" t="s">
        <v>37</v>
      </c>
      <c r="B9" s="48">
        <f>ROUNDUP(C9*D9/1000,0)</f>
        <v>10</v>
      </c>
      <c r="C9" s="49">
        <v>9200</v>
      </c>
      <c r="D9" s="50">
        <v>1</v>
      </c>
      <c r="E9" s="47" t="s">
        <v>38</v>
      </c>
    </row>
    <row r="10" spans="1:5" ht="13.5">
      <c r="A10" s="32" t="s">
        <v>6</v>
      </c>
      <c r="B10" s="41">
        <f aca="true" t="shared" si="0" ref="B10:B28">ROUNDUP(C10*D10/1000,0)</f>
        <v>180</v>
      </c>
      <c r="C10" s="34">
        <f>300000*12*0.05</f>
        <v>180000</v>
      </c>
      <c r="D10" s="35">
        <v>1</v>
      </c>
      <c r="E10" s="32" t="s">
        <v>206</v>
      </c>
    </row>
    <row r="11" spans="1:5" ht="13.5">
      <c r="A11" s="32" t="s">
        <v>7</v>
      </c>
      <c r="B11" s="41">
        <f t="shared" si="0"/>
        <v>29</v>
      </c>
      <c r="C11" s="34">
        <f>300000*12*0.0079</f>
        <v>28440.000000000004</v>
      </c>
      <c r="D11" s="35">
        <v>1</v>
      </c>
      <c r="E11" s="32" t="s">
        <v>285</v>
      </c>
    </row>
    <row r="12" spans="1:5" ht="13.5">
      <c r="A12" s="32" t="s">
        <v>290</v>
      </c>
      <c r="B12" s="41">
        <f t="shared" si="0"/>
        <v>8</v>
      </c>
      <c r="C12" s="34">
        <f>300000*12*0.002</f>
        <v>7200</v>
      </c>
      <c r="D12" s="35">
        <v>1</v>
      </c>
      <c r="E12" s="32" t="s">
        <v>364</v>
      </c>
    </row>
    <row r="13" spans="1:5" ht="13.5">
      <c r="A13" s="32" t="s">
        <v>365</v>
      </c>
      <c r="B13" s="41">
        <f t="shared" si="0"/>
        <v>330</v>
      </c>
      <c r="C13" s="34">
        <f>300000*12*91.5/1000</f>
        <v>329400</v>
      </c>
      <c r="D13" s="35">
        <v>1</v>
      </c>
      <c r="E13" s="32" t="s">
        <v>366</v>
      </c>
    </row>
    <row r="14" spans="1:5" ht="13.5">
      <c r="A14" s="32" t="s">
        <v>8</v>
      </c>
      <c r="B14" s="41">
        <f t="shared" si="0"/>
        <v>26</v>
      </c>
      <c r="C14" s="34">
        <f>300000*12*0.007</f>
        <v>25200</v>
      </c>
      <c r="D14" s="35">
        <v>1</v>
      </c>
      <c r="E14" s="32" t="s">
        <v>367</v>
      </c>
    </row>
    <row r="15" spans="1:5" ht="13.5">
      <c r="A15" s="32" t="s">
        <v>9</v>
      </c>
      <c r="B15" s="41">
        <f t="shared" si="0"/>
        <v>11</v>
      </c>
      <c r="C15" s="34">
        <f>300000*12*0.003</f>
        <v>10800</v>
      </c>
      <c r="D15" s="35">
        <v>1</v>
      </c>
      <c r="E15" s="32" t="s">
        <v>215</v>
      </c>
    </row>
    <row r="16" spans="1:5" ht="13.5">
      <c r="A16" s="32" t="s">
        <v>10</v>
      </c>
      <c r="B16" s="41">
        <f t="shared" si="0"/>
        <v>1</v>
      </c>
      <c r="C16" s="34">
        <f>300000*12*0.00002</f>
        <v>72</v>
      </c>
      <c r="D16" s="35">
        <v>1</v>
      </c>
      <c r="E16" s="32" t="s">
        <v>368</v>
      </c>
    </row>
    <row r="17" spans="1:5" ht="13.5">
      <c r="A17" s="14" t="s">
        <v>65</v>
      </c>
      <c r="B17" s="52">
        <f aca="true" t="shared" si="1" ref="B17:B26">ROUNDUP(C17*D17/1000,0)</f>
        <v>2400</v>
      </c>
      <c r="C17" s="53">
        <v>200000</v>
      </c>
      <c r="D17" s="17">
        <v>12</v>
      </c>
      <c r="E17" s="14" t="s">
        <v>263</v>
      </c>
    </row>
    <row r="18" spans="1:5" ht="13.5">
      <c r="A18" s="32" t="s">
        <v>51</v>
      </c>
      <c r="B18" s="48">
        <f>ROUNDUP(C18*D18/1000,0)</f>
        <v>341</v>
      </c>
      <c r="C18" s="34">
        <f>C17/22/8*1.25</f>
        <v>1420.4545454545453</v>
      </c>
      <c r="D18" s="35">
        <v>240</v>
      </c>
      <c r="E18" s="32" t="s">
        <v>264</v>
      </c>
    </row>
    <row r="19" spans="1:5" s="51" customFormat="1" ht="13.5">
      <c r="A19" s="54" t="s">
        <v>66</v>
      </c>
      <c r="B19" s="55">
        <f t="shared" si="1"/>
        <v>10</v>
      </c>
      <c r="C19" s="56">
        <v>9200</v>
      </c>
      <c r="D19" s="57">
        <v>1</v>
      </c>
      <c r="E19" s="54" t="s">
        <v>38</v>
      </c>
    </row>
    <row r="20" spans="1:5" ht="13.5">
      <c r="A20" s="32" t="s">
        <v>67</v>
      </c>
      <c r="B20" s="41">
        <f t="shared" si="1"/>
        <v>120</v>
      </c>
      <c r="C20" s="34">
        <f>C17*12*0.05</f>
        <v>120000</v>
      </c>
      <c r="D20" s="35">
        <v>1</v>
      </c>
      <c r="E20" s="32" t="s">
        <v>207</v>
      </c>
    </row>
    <row r="21" spans="1:5" ht="13.5">
      <c r="A21" s="32" t="s">
        <v>68</v>
      </c>
      <c r="B21" s="41">
        <f t="shared" si="1"/>
        <v>19</v>
      </c>
      <c r="C21" s="34">
        <f>C17*12*0.0079</f>
        <v>18960.000000000004</v>
      </c>
      <c r="D21" s="35">
        <v>1</v>
      </c>
      <c r="E21" s="32" t="s">
        <v>286</v>
      </c>
    </row>
    <row r="22" spans="1:5" ht="13.5">
      <c r="A22" s="32" t="s">
        <v>291</v>
      </c>
      <c r="B22" s="41">
        <f t="shared" si="1"/>
        <v>4</v>
      </c>
      <c r="C22" s="34">
        <f>C17*12*0.0015</f>
        <v>3600</v>
      </c>
      <c r="D22" s="35">
        <v>1</v>
      </c>
      <c r="E22" s="32" t="s">
        <v>211</v>
      </c>
    </row>
    <row r="23" spans="1:5" ht="13.5">
      <c r="A23" s="32" t="s">
        <v>372</v>
      </c>
      <c r="B23" s="41">
        <f t="shared" si="1"/>
        <v>220</v>
      </c>
      <c r="C23" s="34">
        <f>C17*12*91.5/1000</f>
        <v>219600</v>
      </c>
      <c r="D23" s="35">
        <v>1</v>
      </c>
      <c r="E23" s="32" t="s">
        <v>369</v>
      </c>
    </row>
    <row r="24" spans="1:5" ht="13.5">
      <c r="A24" s="32" t="s">
        <v>69</v>
      </c>
      <c r="B24" s="41">
        <f t="shared" si="1"/>
        <v>17</v>
      </c>
      <c r="C24" s="34">
        <f>C17*12*0.007</f>
        <v>16800</v>
      </c>
      <c r="D24" s="35">
        <v>1</v>
      </c>
      <c r="E24" s="14" t="s">
        <v>370</v>
      </c>
    </row>
    <row r="25" spans="1:5" ht="13.5">
      <c r="A25" s="32" t="s">
        <v>70</v>
      </c>
      <c r="B25" s="41">
        <f t="shared" si="1"/>
        <v>8</v>
      </c>
      <c r="C25" s="34">
        <f>C17*12*0.003</f>
        <v>7200</v>
      </c>
      <c r="D25" s="35">
        <v>1</v>
      </c>
      <c r="E25" s="32" t="s">
        <v>216</v>
      </c>
    </row>
    <row r="26" spans="1:5" ht="13.5">
      <c r="A26" s="32" t="s">
        <v>71</v>
      </c>
      <c r="B26" s="41">
        <f t="shared" si="1"/>
        <v>1</v>
      </c>
      <c r="C26" s="34">
        <f>C17*12*0.00002</f>
        <v>48.00000000000001</v>
      </c>
      <c r="D26" s="35">
        <v>1</v>
      </c>
      <c r="E26" s="32" t="s">
        <v>371</v>
      </c>
    </row>
    <row r="27" spans="1:5" ht="13.5">
      <c r="A27" s="14" t="s">
        <v>45</v>
      </c>
      <c r="B27" s="52">
        <f t="shared" si="0"/>
        <v>1920</v>
      </c>
      <c r="C27" s="53">
        <v>160000</v>
      </c>
      <c r="D27" s="17">
        <v>12</v>
      </c>
      <c r="E27" s="14" t="s">
        <v>170</v>
      </c>
    </row>
    <row r="28" spans="1:5" s="51" customFormat="1" ht="13.5">
      <c r="A28" s="54" t="s">
        <v>39</v>
      </c>
      <c r="B28" s="55">
        <f t="shared" si="0"/>
        <v>10</v>
      </c>
      <c r="C28" s="56">
        <v>9200</v>
      </c>
      <c r="D28" s="57">
        <v>1</v>
      </c>
      <c r="E28" s="54" t="s">
        <v>38</v>
      </c>
    </row>
    <row r="29" spans="1:5" ht="13.5">
      <c r="A29" s="32" t="s">
        <v>40</v>
      </c>
      <c r="B29" s="41">
        <f aca="true" t="shared" si="2" ref="B29:B35">ROUNDUP(C29*D29/1000,0)</f>
        <v>96</v>
      </c>
      <c r="C29" s="34">
        <f>C27*12*0.05</f>
        <v>96000</v>
      </c>
      <c r="D29" s="35">
        <v>1</v>
      </c>
      <c r="E29" s="32" t="s">
        <v>208</v>
      </c>
    </row>
    <row r="30" spans="1:5" ht="13.5">
      <c r="A30" s="32" t="s">
        <v>41</v>
      </c>
      <c r="B30" s="41">
        <f t="shared" si="2"/>
        <v>16</v>
      </c>
      <c r="C30" s="34">
        <f>C27*12*0.0079</f>
        <v>15168.000000000002</v>
      </c>
      <c r="D30" s="35">
        <v>1</v>
      </c>
      <c r="E30" s="32" t="s">
        <v>287</v>
      </c>
    </row>
    <row r="31" spans="1:5" ht="13.5">
      <c r="A31" s="32" t="s">
        <v>292</v>
      </c>
      <c r="B31" s="41">
        <f t="shared" si="2"/>
        <v>4</v>
      </c>
      <c r="C31" s="34">
        <f>160000*12*0.002</f>
        <v>3840</v>
      </c>
      <c r="D31" s="35">
        <v>1</v>
      </c>
      <c r="E31" s="32" t="s">
        <v>389</v>
      </c>
    </row>
    <row r="32" spans="1:5" ht="13.5">
      <c r="A32" s="32" t="s">
        <v>385</v>
      </c>
      <c r="B32" s="41">
        <f t="shared" si="2"/>
        <v>176</v>
      </c>
      <c r="C32" s="34">
        <f>C27*12*91.5/1000</f>
        <v>175680</v>
      </c>
      <c r="D32" s="35">
        <v>1</v>
      </c>
      <c r="E32" s="32" t="s">
        <v>375</v>
      </c>
    </row>
    <row r="33" spans="1:5" ht="13.5">
      <c r="A33" s="32" t="s">
        <v>42</v>
      </c>
      <c r="B33" s="41">
        <f t="shared" si="2"/>
        <v>14</v>
      </c>
      <c r="C33" s="34">
        <f>C27*12*0.007</f>
        <v>13440</v>
      </c>
      <c r="D33" s="35">
        <v>1</v>
      </c>
      <c r="E33" s="32" t="s">
        <v>373</v>
      </c>
    </row>
    <row r="34" spans="1:5" ht="13.5">
      <c r="A34" s="32" t="s">
        <v>43</v>
      </c>
      <c r="B34" s="41">
        <f t="shared" si="2"/>
        <v>6</v>
      </c>
      <c r="C34" s="34">
        <f>C27*12*0.003</f>
        <v>5760</v>
      </c>
      <c r="D34" s="35">
        <v>1</v>
      </c>
      <c r="E34" s="32" t="s">
        <v>212</v>
      </c>
    </row>
    <row r="35" spans="1:5" ht="13.5">
      <c r="A35" s="32" t="s">
        <v>44</v>
      </c>
      <c r="B35" s="41">
        <f t="shared" si="2"/>
        <v>1</v>
      </c>
      <c r="C35" s="34">
        <f>C27*12*0.00002</f>
        <v>38.400000000000006</v>
      </c>
      <c r="D35" s="35">
        <v>1</v>
      </c>
      <c r="E35" s="32" t="s">
        <v>374</v>
      </c>
    </row>
    <row r="36" spans="1:5" ht="15" customHeight="1">
      <c r="A36" s="8" t="s">
        <v>1</v>
      </c>
      <c r="B36" s="9">
        <f>B37+B41+B45+B49+B52</f>
        <v>2429</v>
      </c>
      <c r="C36" s="163"/>
      <c r="D36" s="164"/>
      <c r="E36" s="8"/>
    </row>
    <row r="37" spans="1:5" ht="13.5">
      <c r="A37" s="10" t="s">
        <v>80</v>
      </c>
      <c r="B37" s="11">
        <f>SUM(B38:B40)</f>
        <v>158</v>
      </c>
      <c r="C37" s="12"/>
      <c r="D37" s="13"/>
      <c r="E37" s="10"/>
    </row>
    <row r="38" spans="1:5" ht="13.5">
      <c r="A38" s="14" t="s">
        <v>81</v>
      </c>
      <c r="B38" s="15">
        <f>ROUNDUP(C38*D38/1000,0)</f>
        <v>59</v>
      </c>
      <c r="C38" s="100">
        <v>29260</v>
      </c>
      <c r="D38" s="17">
        <v>2</v>
      </c>
      <c r="E38" s="14" t="s">
        <v>72</v>
      </c>
    </row>
    <row r="39" spans="1:5" ht="13.5">
      <c r="A39" s="14" t="s">
        <v>82</v>
      </c>
      <c r="B39" s="15">
        <f>ROUNDUP(C39*D39/1000,0)</f>
        <v>10</v>
      </c>
      <c r="C39" s="16">
        <v>9860</v>
      </c>
      <c r="D39" s="17">
        <v>1</v>
      </c>
      <c r="E39" s="14" t="s">
        <v>47</v>
      </c>
    </row>
    <row r="40" spans="1:5" ht="13.5">
      <c r="A40" s="14" t="s">
        <v>81</v>
      </c>
      <c r="B40" s="15">
        <f>ROUNDUP(C40*D40/1000,0)</f>
        <v>89</v>
      </c>
      <c r="C40" s="16">
        <f>29260+4200+11000</f>
        <v>44460</v>
      </c>
      <c r="D40" s="17">
        <v>2</v>
      </c>
      <c r="E40" s="14" t="s">
        <v>300</v>
      </c>
    </row>
    <row r="41" spans="1:5" ht="13.5">
      <c r="A41" s="14" t="s">
        <v>11</v>
      </c>
      <c r="B41" s="15">
        <f>SUM(B42:B44)</f>
        <v>324</v>
      </c>
      <c r="C41" s="99"/>
      <c r="D41" s="101"/>
      <c r="E41" s="14"/>
    </row>
    <row r="42" spans="1:5" ht="13.5">
      <c r="A42" s="14" t="s">
        <v>12</v>
      </c>
      <c r="B42" s="15">
        <f>ROUNDUP(C42*D42/1000,0)</f>
        <v>144</v>
      </c>
      <c r="C42" s="16">
        <v>12000</v>
      </c>
      <c r="D42" s="17">
        <v>12</v>
      </c>
      <c r="E42" s="14"/>
    </row>
    <row r="43" spans="1:5" ht="13.5">
      <c r="A43" s="14" t="s">
        <v>13</v>
      </c>
      <c r="B43" s="15">
        <f>ROUNDUP(C43*D43/1000,0)</f>
        <v>120</v>
      </c>
      <c r="C43" s="16">
        <v>10000</v>
      </c>
      <c r="D43" s="17">
        <v>12</v>
      </c>
      <c r="E43" s="14"/>
    </row>
    <row r="44" spans="1:5" ht="13.5">
      <c r="A44" s="14" t="s">
        <v>14</v>
      </c>
      <c r="B44" s="15">
        <f>ROUNDUP(C44*D44/1000,0)</f>
        <v>60</v>
      </c>
      <c r="C44" s="16">
        <v>5000</v>
      </c>
      <c r="D44" s="17">
        <v>12</v>
      </c>
      <c r="E44" s="14"/>
    </row>
    <row r="45" spans="1:5" ht="13.5">
      <c r="A45" s="14" t="s">
        <v>73</v>
      </c>
      <c r="B45" s="15">
        <f>SUM(B46:B48)</f>
        <v>651</v>
      </c>
      <c r="C45" s="16"/>
      <c r="D45" s="17"/>
      <c r="E45" s="14"/>
    </row>
    <row r="46" spans="1:5" ht="13.5">
      <c r="A46" s="14" t="s">
        <v>30</v>
      </c>
      <c r="B46" s="15">
        <f>ROUNDUP(C46*D46/1000,0)</f>
        <v>216</v>
      </c>
      <c r="C46" s="16">
        <v>18000</v>
      </c>
      <c r="D46" s="17">
        <v>12</v>
      </c>
      <c r="E46" s="14" t="s">
        <v>301</v>
      </c>
    </row>
    <row r="47" spans="1:5" ht="13.5">
      <c r="A47" s="14" t="s">
        <v>74</v>
      </c>
      <c r="B47" s="15">
        <f>ROUNDUP(C47*D47/1000,0)</f>
        <v>312</v>
      </c>
      <c r="C47" s="16">
        <f>26000*1</f>
        <v>26000</v>
      </c>
      <c r="D47" s="17">
        <v>12</v>
      </c>
      <c r="E47" s="14" t="s">
        <v>75</v>
      </c>
    </row>
    <row r="48" spans="1:5" ht="13.5">
      <c r="A48" s="14" t="s">
        <v>76</v>
      </c>
      <c r="B48" s="15">
        <f>ROUNDUP(C48*D48/1000,0)</f>
        <v>123</v>
      </c>
      <c r="C48" s="16">
        <f>10200*1</f>
        <v>10200</v>
      </c>
      <c r="D48" s="17">
        <v>12</v>
      </c>
      <c r="E48" s="14" t="s">
        <v>77</v>
      </c>
    </row>
    <row r="49" spans="1:5" ht="13.5">
      <c r="A49" s="14" t="s">
        <v>15</v>
      </c>
      <c r="B49" s="15">
        <f>SUM(B50:B51)</f>
        <v>279</v>
      </c>
      <c r="C49" s="16"/>
      <c r="D49" s="17"/>
      <c r="E49" s="14"/>
    </row>
    <row r="50" spans="1:5" ht="13.5">
      <c r="A50" s="14" t="s">
        <v>79</v>
      </c>
      <c r="B50" s="15">
        <f>ROUNDUP(C50*D50/1000,0)</f>
        <v>135</v>
      </c>
      <c r="C50" s="16">
        <v>11200</v>
      </c>
      <c r="D50" s="17">
        <v>12</v>
      </c>
      <c r="E50" s="140" t="s">
        <v>169</v>
      </c>
    </row>
    <row r="51" spans="1:5" ht="13.5">
      <c r="A51" s="14" t="s">
        <v>78</v>
      </c>
      <c r="B51" s="15">
        <f>ROUNDUP(C51*D51/1000,0)</f>
        <v>144</v>
      </c>
      <c r="C51" s="16">
        <v>12000</v>
      </c>
      <c r="D51" s="17">
        <v>12</v>
      </c>
      <c r="E51" s="14" t="s">
        <v>36</v>
      </c>
    </row>
    <row r="52" spans="1:5" ht="13.5">
      <c r="A52" s="14" t="s">
        <v>172</v>
      </c>
      <c r="B52" s="15">
        <f>SUM(B53:B55)</f>
        <v>1017</v>
      </c>
      <c r="C52" s="100"/>
      <c r="D52" s="17"/>
      <c r="E52" s="140"/>
    </row>
    <row r="53" spans="1:5" ht="13.5">
      <c r="A53" s="14" t="s">
        <v>121</v>
      </c>
      <c r="B53" s="15">
        <f>ROUNDUP(C53*D53/1000,0)</f>
        <v>585</v>
      </c>
      <c r="C53" s="100">
        <v>65000</v>
      </c>
      <c r="D53" s="17">
        <v>9</v>
      </c>
      <c r="E53" s="14" t="s">
        <v>184</v>
      </c>
    </row>
    <row r="54" spans="1:5" ht="13.5">
      <c r="A54" s="14" t="s">
        <v>243</v>
      </c>
      <c r="B54" s="15">
        <f>ROUNDUP(C54*D54/1000,0)</f>
        <v>162</v>
      </c>
      <c r="C54" s="100">
        <v>18000</v>
      </c>
      <c r="D54" s="17">
        <v>9</v>
      </c>
      <c r="E54" s="14" t="s">
        <v>321</v>
      </c>
    </row>
    <row r="55" spans="1:5" ht="14.25" thickBot="1">
      <c r="A55" s="28" t="s">
        <v>122</v>
      </c>
      <c r="B55" s="29">
        <f>ROUNDUP(C55*D55/1000,0)</f>
        <v>270</v>
      </c>
      <c r="C55" s="42">
        <v>30000</v>
      </c>
      <c r="D55" s="31">
        <v>9</v>
      </c>
      <c r="E55" s="28" t="s">
        <v>123</v>
      </c>
    </row>
    <row r="56" spans="1:5" ht="15" customHeight="1" thickTop="1">
      <c r="A56" s="141" t="s">
        <v>16</v>
      </c>
      <c r="B56" s="142">
        <f>B57+B88+B113</f>
        <v>14493</v>
      </c>
      <c r="C56" s="165"/>
      <c r="D56" s="166"/>
      <c r="E56" s="143"/>
    </row>
    <row r="57" spans="1:5" ht="15" customHeight="1">
      <c r="A57" s="22" t="s">
        <v>17</v>
      </c>
      <c r="B57" s="23">
        <f>B58+B64+B73+B83</f>
        <v>5512</v>
      </c>
      <c r="C57" s="167"/>
      <c r="D57" s="168"/>
      <c r="E57" s="22"/>
    </row>
    <row r="58" spans="1:5" ht="15" customHeight="1">
      <c r="A58" s="8" t="s">
        <v>303</v>
      </c>
      <c r="B58" s="9">
        <f>SUM(B59:B63)</f>
        <v>1275</v>
      </c>
      <c r="C58" s="163"/>
      <c r="D58" s="164"/>
      <c r="E58" s="8"/>
    </row>
    <row r="59" spans="1:5" ht="13.5">
      <c r="A59" s="10" t="s">
        <v>18</v>
      </c>
      <c r="B59" s="11">
        <f>ROUNDUP(C59*D59/1000,0)</f>
        <v>800</v>
      </c>
      <c r="C59" s="12">
        <v>100000</v>
      </c>
      <c r="D59" s="13">
        <v>8</v>
      </c>
      <c r="E59" s="10" t="s">
        <v>88</v>
      </c>
    </row>
    <row r="60" spans="1:5" ht="13.5">
      <c r="A60" s="14" t="s">
        <v>35</v>
      </c>
      <c r="B60" s="15">
        <f>ROUNDUP(C60*D60/1000,0)</f>
        <v>235</v>
      </c>
      <c r="C60" s="100">
        <f>29260</f>
        <v>29260</v>
      </c>
      <c r="D60" s="17">
        <v>8</v>
      </c>
      <c r="E60" s="102" t="s">
        <v>83</v>
      </c>
    </row>
    <row r="61" spans="1:5" ht="13.5">
      <c r="A61" s="14" t="s">
        <v>20</v>
      </c>
      <c r="B61" s="15">
        <f>ROUNDUP(C61*D61/1000,0)</f>
        <v>120</v>
      </c>
      <c r="C61" s="34">
        <v>15000</v>
      </c>
      <c r="D61" s="35">
        <v>8</v>
      </c>
      <c r="E61" s="32" t="s">
        <v>221</v>
      </c>
    </row>
    <row r="62" spans="1:5" ht="13.5">
      <c r="A62" s="14" t="s">
        <v>84</v>
      </c>
      <c r="B62" s="15">
        <f>ROUNDUP(C62*D62/1000,0)</f>
        <v>40</v>
      </c>
      <c r="C62" s="100">
        <v>5000</v>
      </c>
      <c r="D62" s="17">
        <v>8</v>
      </c>
      <c r="E62" s="14" t="s">
        <v>222</v>
      </c>
    </row>
    <row r="63" spans="1:5" ht="13.5">
      <c r="A63" s="18" t="s">
        <v>21</v>
      </c>
      <c r="B63" s="19">
        <f>ROUNDUP(C63*D63/1000,0)</f>
        <v>80</v>
      </c>
      <c r="C63" s="20">
        <v>80000</v>
      </c>
      <c r="D63" s="21">
        <v>1</v>
      </c>
      <c r="E63" s="18" t="s">
        <v>48</v>
      </c>
    </row>
    <row r="64" spans="1:5" ht="15" customHeight="1">
      <c r="A64" s="8" t="s">
        <v>223</v>
      </c>
      <c r="B64" s="9">
        <f>SUM(B65:B72)</f>
        <v>1973</v>
      </c>
      <c r="C64" s="163"/>
      <c r="D64" s="164"/>
      <c r="E64" s="8"/>
    </row>
    <row r="65" spans="1:5" ht="13.5">
      <c r="A65" s="10" t="s">
        <v>18</v>
      </c>
      <c r="B65" s="11">
        <f aca="true" t="shared" si="3" ref="B65:B72">ROUNDUP(C65*D65/1000,0)</f>
        <v>1200</v>
      </c>
      <c r="C65" s="12">
        <v>100000</v>
      </c>
      <c r="D65" s="13">
        <v>12</v>
      </c>
      <c r="E65" s="10" t="s">
        <v>251</v>
      </c>
    </row>
    <row r="66" spans="1:5" ht="13.5">
      <c r="A66" s="14" t="s">
        <v>35</v>
      </c>
      <c r="B66" s="15">
        <f t="shared" si="3"/>
        <v>352</v>
      </c>
      <c r="C66" s="16">
        <f>29260</f>
        <v>29260</v>
      </c>
      <c r="D66" s="17">
        <v>12</v>
      </c>
      <c r="E66" s="102" t="s">
        <v>83</v>
      </c>
    </row>
    <row r="67" spans="1:5" ht="13.5">
      <c r="A67" s="14" t="s">
        <v>86</v>
      </c>
      <c r="B67" s="15">
        <f t="shared" si="3"/>
        <v>30</v>
      </c>
      <c r="C67" s="16">
        <v>10000</v>
      </c>
      <c r="D67" s="35">
        <v>3</v>
      </c>
      <c r="E67" s="32" t="s">
        <v>252</v>
      </c>
    </row>
    <row r="68" spans="1:5" ht="13.5">
      <c r="A68" s="14" t="s">
        <v>20</v>
      </c>
      <c r="B68" s="15">
        <f t="shared" si="3"/>
        <v>135</v>
      </c>
      <c r="C68" s="34">
        <v>15000</v>
      </c>
      <c r="D68" s="35">
        <v>9</v>
      </c>
      <c r="E68" s="32" t="s">
        <v>306</v>
      </c>
    </row>
    <row r="69" spans="1:5" ht="13.5">
      <c r="A69" s="14" t="s">
        <v>84</v>
      </c>
      <c r="B69" s="15">
        <f t="shared" si="3"/>
        <v>45</v>
      </c>
      <c r="C69" s="16">
        <v>5000</v>
      </c>
      <c r="D69" s="17">
        <v>9</v>
      </c>
      <c r="E69" s="14" t="s">
        <v>307</v>
      </c>
    </row>
    <row r="70" spans="1:5" ht="13.5">
      <c r="A70" s="14" t="s">
        <v>28</v>
      </c>
      <c r="B70" s="15">
        <f t="shared" si="3"/>
        <v>86</v>
      </c>
      <c r="C70" s="16">
        <v>28500</v>
      </c>
      <c r="D70" s="17">
        <v>3</v>
      </c>
      <c r="E70" s="14" t="s">
        <v>253</v>
      </c>
    </row>
    <row r="71" spans="1:5" ht="13.5">
      <c r="A71" s="28" t="s">
        <v>34</v>
      </c>
      <c r="B71" s="29">
        <f t="shared" si="3"/>
        <v>45</v>
      </c>
      <c r="C71" s="30">
        <v>1000</v>
      </c>
      <c r="D71" s="31">
        <v>45</v>
      </c>
      <c r="E71" s="28" t="s">
        <v>254</v>
      </c>
    </row>
    <row r="72" spans="1:5" ht="13.5">
      <c r="A72" s="18" t="s">
        <v>21</v>
      </c>
      <c r="B72" s="19">
        <f t="shared" si="3"/>
        <v>80</v>
      </c>
      <c r="C72" s="20">
        <v>80000</v>
      </c>
      <c r="D72" s="21">
        <v>1</v>
      </c>
      <c r="E72" s="18" t="s">
        <v>48</v>
      </c>
    </row>
    <row r="73" spans="1:5" ht="15" customHeight="1">
      <c r="A73" s="8" t="s">
        <v>225</v>
      </c>
      <c r="B73" s="9">
        <f>B74</f>
        <v>1724</v>
      </c>
      <c r="C73" s="163"/>
      <c r="D73" s="164"/>
      <c r="E73" s="8"/>
    </row>
    <row r="74" spans="1:5" ht="13.5">
      <c r="A74" s="10" t="s">
        <v>157</v>
      </c>
      <c r="B74" s="11">
        <f>SUM(B75:B82)</f>
        <v>1724</v>
      </c>
      <c r="C74" s="12"/>
      <c r="D74" s="13"/>
      <c r="E74" s="10"/>
    </row>
    <row r="75" spans="1:5" ht="13.5">
      <c r="A75" s="32" t="s">
        <v>18</v>
      </c>
      <c r="B75" s="15">
        <f>ROUNDUP(C75*D75/1000,0)</f>
        <v>1000</v>
      </c>
      <c r="C75" s="34">
        <v>100000</v>
      </c>
      <c r="D75" s="35">
        <v>10</v>
      </c>
      <c r="E75" s="32" t="s">
        <v>255</v>
      </c>
    </row>
    <row r="76" spans="1:5" ht="13.5">
      <c r="A76" s="14" t="s">
        <v>19</v>
      </c>
      <c r="B76" s="15">
        <f>ROUNDUP(C76*D76/1000,0)</f>
        <v>293</v>
      </c>
      <c r="C76" s="16">
        <f>29260</f>
        <v>29260</v>
      </c>
      <c r="D76" s="17">
        <v>10</v>
      </c>
      <c r="E76" s="102" t="s">
        <v>83</v>
      </c>
    </row>
    <row r="77" spans="1:5" ht="13.5">
      <c r="A77" s="14" t="s">
        <v>20</v>
      </c>
      <c r="B77" s="29">
        <f>ROUNDUP(C77*D77/1000,0)</f>
        <v>130</v>
      </c>
      <c r="C77" s="34">
        <v>13000</v>
      </c>
      <c r="D77" s="35">
        <v>10</v>
      </c>
      <c r="E77" s="32" t="s">
        <v>308</v>
      </c>
    </row>
    <row r="78" spans="1:5" ht="13.5">
      <c r="A78" s="14" t="s">
        <v>309</v>
      </c>
      <c r="B78" s="15">
        <f>ROUNDUP(C78*D78/1000,0)</f>
        <v>136</v>
      </c>
      <c r="C78" s="16">
        <v>6800</v>
      </c>
      <c r="D78" s="17">
        <v>20</v>
      </c>
      <c r="E78" s="14" t="s">
        <v>310</v>
      </c>
    </row>
    <row r="79" spans="1:5" ht="13.5">
      <c r="A79" s="14" t="s">
        <v>89</v>
      </c>
      <c r="B79" s="33">
        <f aca="true" t="shared" si="4" ref="B79:B87">ROUNDUP(C79*D79/1000,0)</f>
        <v>60</v>
      </c>
      <c r="C79" s="16">
        <v>3000</v>
      </c>
      <c r="D79" s="17">
        <v>20</v>
      </c>
      <c r="E79" s="14" t="s">
        <v>311</v>
      </c>
    </row>
    <row r="80" spans="1:5" ht="13.5">
      <c r="A80" s="28" t="s">
        <v>90</v>
      </c>
      <c r="B80" s="15">
        <f t="shared" si="4"/>
        <v>5</v>
      </c>
      <c r="C80" s="42">
        <v>5000</v>
      </c>
      <c r="D80" s="31">
        <v>1</v>
      </c>
      <c r="E80" s="28" t="s">
        <v>91</v>
      </c>
    </row>
    <row r="81" spans="1:5" ht="13.5">
      <c r="A81" s="28" t="s">
        <v>34</v>
      </c>
      <c r="B81" s="29">
        <f t="shared" si="4"/>
        <v>20</v>
      </c>
      <c r="C81" s="42">
        <v>1000</v>
      </c>
      <c r="D81" s="31">
        <v>20</v>
      </c>
      <c r="E81" s="28" t="s">
        <v>314</v>
      </c>
    </row>
    <row r="82" spans="1:5" ht="13.5">
      <c r="A82" s="18" t="s">
        <v>21</v>
      </c>
      <c r="B82" s="19">
        <f t="shared" si="4"/>
        <v>80</v>
      </c>
      <c r="C82" s="20">
        <v>80000</v>
      </c>
      <c r="D82" s="21">
        <v>1</v>
      </c>
      <c r="E82" s="18" t="s">
        <v>48</v>
      </c>
    </row>
    <row r="83" spans="1:5" ht="15" customHeight="1">
      <c r="A83" s="8" t="s">
        <v>230</v>
      </c>
      <c r="B83" s="9">
        <f>SUM(B84:B87)</f>
        <v>540</v>
      </c>
      <c r="C83" s="163"/>
      <c r="D83" s="164"/>
      <c r="E83" s="8"/>
    </row>
    <row r="84" spans="1:5" ht="13.5">
      <c r="A84" s="14" t="s">
        <v>20</v>
      </c>
      <c r="B84" s="15">
        <f>ROUNDUP(C84*D84/1000,0)</f>
        <v>160</v>
      </c>
      <c r="C84" s="16">
        <v>40000</v>
      </c>
      <c r="D84" s="17">
        <v>4</v>
      </c>
      <c r="E84" s="14" t="s">
        <v>256</v>
      </c>
    </row>
    <row r="85" spans="1:5" ht="13.5">
      <c r="A85" s="14" t="s">
        <v>94</v>
      </c>
      <c r="B85" s="15">
        <f>ROUNDUP(C85*D85/1000,0)</f>
        <v>60</v>
      </c>
      <c r="C85" s="16">
        <v>15000</v>
      </c>
      <c r="D85" s="17">
        <v>4</v>
      </c>
      <c r="E85" s="14"/>
    </row>
    <row r="86" spans="1:5" ht="13.5">
      <c r="A86" s="32" t="s">
        <v>93</v>
      </c>
      <c r="B86" s="33">
        <f>ROUNDUP(C86*D86/1000,0)</f>
        <v>140</v>
      </c>
      <c r="C86" s="34">
        <v>350</v>
      </c>
      <c r="D86" s="35">
        <v>400</v>
      </c>
      <c r="E86" s="32" t="s">
        <v>315</v>
      </c>
    </row>
    <row r="87" spans="1:5" ht="13.5">
      <c r="A87" s="18" t="s">
        <v>27</v>
      </c>
      <c r="B87" s="19">
        <f t="shared" si="4"/>
        <v>180</v>
      </c>
      <c r="C87" s="20">
        <v>180000</v>
      </c>
      <c r="D87" s="21">
        <v>1</v>
      </c>
      <c r="E87" s="18" t="s">
        <v>96</v>
      </c>
    </row>
    <row r="88" spans="1:5" ht="15" customHeight="1">
      <c r="A88" s="22" t="s">
        <v>22</v>
      </c>
      <c r="B88" s="23">
        <f>B89+B96+B103</f>
        <v>7942</v>
      </c>
      <c r="C88" s="167"/>
      <c r="D88" s="168"/>
      <c r="E88" s="22"/>
    </row>
    <row r="89" spans="1:5" ht="15" customHeight="1">
      <c r="A89" s="8" t="s">
        <v>97</v>
      </c>
      <c r="B89" s="9">
        <f>SUM(B90:B95)</f>
        <v>1778</v>
      </c>
      <c r="C89" s="163"/>
      <c r="D89" s="164"/>
      <c r="E89" s="8"/>
    </row>
    <row r="90" spans="1:5" ht="13.5">
      <c r="A90" s="32" t="s">
        <v>18</v>
      </c>
      <c r="B90" s="33">
        <f aca="true" t="shared" si="5" ref="B90:B95">ROUNDUP(C90*D90/1000,0)</f>
        <v>1000</v>
      </c>
      <c r="C90" s="34">
        <v>100000</v>
      </c>
      <c r="D90" s="35">
        <v>10</v>
      </c>
      <c r="E90" s="32" t="s">
        <v>232</v>
      </c>
    </row>
    <row r="91" spans="1:5" ht="13.5">
      <c r="A91" s="14" t="s">
        <v>35</v>
      </c>
      <c r="B91" s="15">
        <f t="shared" si="5"/>
        <v>176</v>
      </c>
      <c r="C91" s="16">
        <f>29260</f>
        <v>29260</v>
      </c>
      <c r="D91" s="17">
        <v>6</v>
      </c>
      <c r="E91" s="14" t="s">
        <v>164</v>
      </c>
    </row>
    <row r="92" spans="1:5" ht="13.5">
      <c r="A92" s="14" t="s">
        <v>20</v>
      </c>
      <c r="B92" s="15">
        <f t="shared" si="5"/>
        <v>130</v>
      </c>
      <c r="C92" s="34">
        <v>13000</v>
      </c>
      <c r="D92" s="35">
        <v>10</v>
      </c>
      <c r="E92" s="32" t="s">
        <v>233</v>
      </c>
    </row>
    <row r="93" spans="1:5" ht="13.5">
      <c r="A93" s="14" t="s">
        <v>98</v>
      </c>
      <c r="B93" s="15">
        <f t="shared" si="5"/>
        <v>272</v>
      </c>
      <c r="C93" s="16">
        <v>6800</v>
      </c>
      <c r="D93" s="17">
        <v>40</v>
      </c>
      <c r="E93" s="14" t="s">
        <v>181</v>
      </c>
    </row>
    <row r="94" spans="1:5" ht="13.5">
      <c r="A94" s="28" t="s">
        <v>90</v>
      </c>
      <c r="B94" s="15">
        <f t="shared" si="5"/>
        <v>20</v>
      </c>
      <c r="C94" s="42">
        <v>5000</v>
      </c>
      <c r="D94" s="31">
        <v>4</v>
      </c>
      <c r="E94" s="28" t="s">
        <v>100</v>
      </c>
    </row>
    <row r="95" spans="1:5" ht="13.5">
      <c r="A95" s="18" t="s">
        <v>27</v>
      </c>
      <c r="B95" s="19">
        <f t="shared" si="5"/>
        <v>180</v>
      </c>
      <c r="C95" s="20">
        <v>180000</v>
      </c>
      <c r="D95" s="21">
        <v>1</v>
      </c>
      <c r="E95" s="18" t="s">
        <v>96</v>
      </c>
    </row>
    <row r="96" spans="1:5" ht="15" customHeight="1">
      <c r="A96" s="8" t="s">
        <v>316</v>
      </c>
      <c r="B96" s="9">
        <f>SUM(B97:B102)</f>
        <v>3004</v>
      </c>
      <c r="C96" s="163"/>
      <c r="D96" s="164"/>
      <c r="E96" s="8"/>
    </row>
    <row r="97" spans="1:5" ht="13.5">
      <c r="A97" s="32" t="s">
        <v>18</v>
      </c>
      <c r="B97" s="33">
        <f aca="true" t="shared" si="6" ref="B97:B102">ROUNDUP(C97*D97/1000,0)</f>
        <v>1800</v>
      </c>
      <c r="C97" s="34">
        <v>100000</v>
      </c>
      <c r="D97" s="35">
        <v>18</v>
      </c>
      <c r="E97" s="32" t="s">
        <v>176</v>
      </c>
    </row>
    <row r="98" spans="1:5" ht="13.5">
      <c r="A98" s="14" t="s">
        <v>35</v>
      </c>
      <c r="B98" s="15">
        <f t="shared" si="6"/>
        <v>352</v>
      </c>
      <c r="C98" s="16">
        <f>29260</f>
        <v>29260</v>
      </c>
      <c r="D98" s="17">
        <v>12</v>
      </c>
      <c r="E98" s="14" t="s">
        <v>167</v>
      </c>
    </row>
    <row r="99" spans="1:5" ht="13.5">
      <c r="A99" s="14" t="s">
        <v>20</v>
      </c>
      <c r="B99" s="15">
        <f t="shared" si="6"/>
        <v>234</v>
      </c>
      <c r="C99" s="34">
        <v>13000</v>
      </c>
      <c r="D99" s="35">
        <v>18</v>
      </c>
      <c r="E99" s="32" t="s">
        <v>182</v>
      </c>
    </row>
    <row r="100" spans="1:5" ht="13.5">
      <c r="A100" s="14" t="s">
        <v>98</v>
      </c>
      <c r="B100" s="15">
        <f t="shared" si="6"/>
        <v>408</v>
      </c>
      <c r="C100" s="16">
        <v>6800</v>
      </c>
      <c r="D100" s="17">
        <v>60</v>
      </c>
      <c r="E100" s="14" t="s">
        <v>183</v>
      </c>
    </row>
    <row r="101" spans="1:5" ht="13.5">
      <c r="A101" s="28" t="s">
        <v>90</v>
      </c>
      <c r="B101" s="15">
        <f t="shared" si="6"/>
        <v>30</v>
      </c>
      <c r="C101" s="42">
        <v>5000</v>
      </c>
      <c r="D101" s="31">
        <v>6</v>
      </c>
      <c r="E101" s="28" t="s">
        <v>173</v>
      </c>
    </row>
    <row r="102" spans="1:5" ht="13.5">
      <c r="A102" s="18" t="s">
        <v>27</v>
      </c>
      <c r="B102" s="19">
        <f t="shared" si="6"/>
        <v>180</v>
      </c>
      <c r="C102" s="20">
        <v>180000</v>
      </c>
      <c r="D102" s="21">
        <v>1</v>
      </c>
      <c r="E102" s="18" t="s">
        <v>96</v>
      </c>
    </row>
    <row r="103" spans="1:5" ht="15" customHeight="1">
      <c r="A103" s="8" t="s">
        <v>101</v>
      </c>
      <c r="B103" s="9">
        <f>SUM(B104:B112)</f>
        <v>3160</v>
      </c>
      <c r="C103" s="163"/>
      <c r="D103" s="164"/>
      <c r="E103" s="8"/>
    </row>
    <row r="104" spans="1:5" ht="13.5">
      <c r="A104" s="32" t="s">
        <v>18</v>
      </c>
      <c r="B104" s="138">
        <f aca="true" t="shared" si="7" ref="B104:B109">ROUNDUP(C104*D104/1000,0)</f>
        <v>1200</v>
      </c>
      <c r="C104" s="34">
        <v>50000</v>
      </c>
      <c r="D104" s="35">
        <v>24</v>
      </c>
      <c r="E104" s="32" t="s">
        <v>241</v>
      </c>
    </row>
    <row r="105" spans="1:5" ht="13.5">
      <c r="A105" s="14" t="s">
        <v>35</v>
      </c>
      <c r="B105" s="15">
        <f t="shared" si="7"/>
        <v>703</v>
      </c>
      <c r="C105" s="100">
        <f>29260</f>
        <v>29260</v>
      </c>
      <c r="D105" s="17">
        <v>24</v>
      </c>
      <c r="E105" s="14" t="s">
        <v>166</v>
      </c>
    </row>
    <row r="106" spans="1:5" ht="13.5">
      <c r="A106" s="14" t="s">
        <v>20</v>
      </c>
      <c r="B106" s="15">
        <f t="shared" si="7"/>
        <v>312</v>
      </c>
      <c r="C106" s="34">
        <v>13000</v>
      </c>
      <c r="D106" s="35">
        <v>24</v>
      </c>
      <c r="E106" s="32" t="s">
        <v>318</v>
      </c>
    </row>
    <row r="107" spans="1:5" ht="13.5">
      <c r="A107" s="14" t="s">
        <v>104</v>
      </c>
      <c r="B107" s="15">
        <f t="shared" si="7"/>
        <v>408</v>
      </c>
      <c r="C107" s="100">
        <v>6800</v>
      </c>
      <c r="D107" s="17">
        <v>60</v>
      </c>
      <c r="E107" s="14" t="s">
        <v>183</v>
      </c>
    </row>
    <row r="108" spans="1:5" ht="13.5">
      <c r="A108" s="28" t="s">
        <v>105</v>
      </c>
      <c r="B108" s="15">
        <f t="shared" si="7"/>
        <v>30</v>
      </c>
      <c r="C108" s="42">
        <v>5000</v>
      </c>
      <c r="D108" s="31">
        <v>6</v>
      </c>
      <c r="E108" s="28" t="s">
        <v>173</v>
      </c>
    </row>
    <row r="109" spans="1:5" ht="13.5">
      <c r="A109" s="14" t="s">
        <v>106</v>
      </c>
      <c r="B109" s="15">
        <f t="shared" si="7"/>
        <v>189</v>
      </c>
      <c r="C109" s="100">
        <v>3150</v>
      </c>
      <c r="D109" s="17">
        <v>60</v>
      </c>
      <c r="E109" s="14" t="s">
        <v>319</v>
      </c>
    </row>
    <row r="110" spans="1:5" ht="13.5">
      <c r="A110" s="14" t="s">
        <v>102</v>
      </c>
      <c r="B110" s="15">
        <f>ROUNDUP(C110*D110/1000,0)</f>
        <v>78</v>
      </c>
      <c r="C110" s="16">
        <v>26000</v>
      </c>
      <c r="D110" s="17">
        <v>3</v>
      </c>
      <c r="E110" s="14" t="s">
        <v>174</v>
      </c>
    </row>
    <row r="111" spans="1:5" ht="13.5">
      <c r="A111" s="28" t="s">
        <v>103</v>
      </c>
      <c r="B111" s="29">
        <f>ROUNDUP(C111*D111/1000,0)</f>
        <v>60</v>
      </c>
      <c r="C111" s="42">
        <v>20000</v>
      </c>
      <c r="D111" s="31">
        <v>3</v>
      </c>
      <c r="E111" s="28" t="s">
        <v>175</v>
      </c>
    </row>
    <row r="112" spans="1:5" ht="13.5">
      <c r="A112" s="18" t="s">
        <v>27</v>
      </c>
      <c r="B112" s="19">
        <f>ROUNDUP(C112*D112/1000,0)</f>
        <v>180</v>
      </c>
      <c r="C112" s="20">
        <v>180000</v>
      </c>
      <c r="D112" s="21">
        <v>1</v>
      </c>
      <c r="E112" s="18" t="s">
        <v>29</v>
      </c>
    </row>
    <row r="113" spans="1:5" ht="15" customHeight="1">
      <c r="A113" s="22" t="s">
        <v>23</v>
      </c>
      <c r="B113" s="23">
        <f>B114+B117</f>
        <v>1039</v>
      </c>
      <c r="C113" s="169">
        <f>B113/$B$88</f>
        <v>0.1308234701586502</v>
      </c>
      <c r="D113" s="170"/>
      <c r="E113" s="38" t="s">
        <v>32</v>
      </c>
    </row>
    <row r="114" spans="1:5" ht="15" customHeight="1">
      <c r="A114" s="8" t="s">
        <v>107</v>
      </c>
      <c r="B114" s="9">
        <f>SUM(B115:B116)</f>
        <v>154</v>
      </c>
      <c r="C114" s="163"/>
      <c r="D114" s="164"/>
      <c r="E114" s="8"/>
    </row>
    <row r="115" spans="1:5" ht="13.5">
      <c r="A115" s="14" t="s">
        <v>26</v>
      </c>
      <c r="B115" s="15">
        <f>ROUNDUP(C115*D115/1000,0)</f>
        <v>60</v>
      </c>
      <c r="C115" s="100">
        <v>5000</v>
      </c>
      <c r="D115" s="17">
        <v>12</v>
      </c>
      <c r="E115" s="14" t="s">
        <v>52</v>
      </c>
    </row>
    <row r="116" spans="1:5" ht="13.5">
      <c r="A116" s="28" t="s">
        <v>50</v>
      </c>
      <c r="B116" s="29">
        <f>ROUNDUP(C116*D116/1000,0)</f>
        <v>94</v>
      </c>
      <c r="C116" s="42">
        <v>7800</v>
      </c>
      <c r="D116" s="31">
        <v>12</v>
      </c>
      <c r="E116" s="28"/>
    </row>
    <row r="117" spans="1:5" ht="15" customHeight="1">
      <c r="A117" s="8" t="s">
        <v>108</v>
      </c>
      <c r="B117" s="9">
        <f>SUM(B118:B121)</f>
        <v>885</v>
      </c>
      <c r="C117" s="163"/>
      <c r="D117" s="164"/>
      <c r="E117" s="8"/>
    </row>
    <row r="118" spans="1:5" ht="13.5">
      <c r="A118" s="14" t="s">
        <v>20</v>
      </c>
      <c r="B118" s="15">
        <f>ROUNDUP(C118*D118/1000,0)</f>
        <v>640</v>
      </c>
      <c r="C118" s="100">
        <v>80000</v>
      </c>
      <c r="D118" s="17">
        <v>8</v>
      </c>
      <c r="E118" s="14" t="s">
        <v>180</v>
      </c>
    </row>
    <row r="119" spans="1:5" ht="13.5">
      <c r="A119" s="14" t="s">
        <v>94</v>
      </c>
      <c r="B119" s="15">
        <f>ROUNDUP(C119*D119/1000,0)</f>
        <v>15</v>
      </c>
      <c r="C119" s="100">
        <v>15000</v>
      </c>
      <c r="D119" s="17">
        <v>1</v>
      </c>
      <c r="E119" s="14"/>
    </row>
    <row r="120" spans="1:5" ht="13.5">
      <c r="A120" s="32" t="s">
        <v>155</v>
      </c>
      <c r="B120" s="33">
        <f>ROUNDUP(C120*D120/1000,0)</f>
        <v>50</v>
      </c>
      <c r="C120" s="34">
        <v>50</v>
      </c>
      <c r="D120" s="35">
        <v>1000</v>
      </c>
      <c r="E120" s="32" t="s">
        <v>156</v>
      </c>
    </row>
    <row r="121" spans="1:5" ht="13.5">
      <c r="A121" s="18" t="s">
        <v>27</v>
      </c>
      <c r="B121" s="19">
        <f>ROUNDUP(C121*D121/1000,0)</f>
        <v>180</v>
      </c>
      <c r="C121" s="20">
        <v>180000</v>
      </c>
      <c r="D121" s="21">
        <v>1</v>
      </c>
      <c r="E121" s="18" t="s">
        <v>96</v>
      </c>
    </row>
    <row r="122" spans="1:5" ht="15" customHeight="1">
      <c r="A122" s="108" t="s">
        <v>153</v>
      </c>
      <c r="B122" s="109">
        <f>B123</f>
        <v>23365</v>
      </c>
      <c r="C122" s="177">
        <f>B124/B123</f>
        <v>0.5307511234752835</v>
      </c>
      <c r="D122" s="178"/>
      <c r="E122" s="110" t="s">
        <v>149</v>
      </c>
    </row>
    <row r="123" spans="1:5" ht="15" customHeight="1">
      <c r="A123" s="22" t="s">
        <v>109</v>
      </c>
      <c r="B123" s="23">
        <f>B124+B145</f>
        <v>23365</v>
      </c>
      <c r="C123" s="169"/>
      <c r="D123" s="170"/>
      <c r="E123" s="38"/>
    </row>
    <row r="124" spans="1:5" ht="15" customHeight="1">
      <c r="A124" s="8" t="s">
        <v>111</v>
      </c>
      <c r="B124" s="9">
        <f>SUM(B125:B144)</f>
        <v>12401</v>
      </c>
      <c r="C124" s="163"/>
      <c r="D124" s="164"/>
      <c r="E124" s="8"/>
    </row>
    <row r="125" spans="1:5" ht="13.5">
      <c r="A125" s="10" t="s">
        <v>118</v>
      </c>
      <c r="B125" s="43">
        <f>ROUNDUP(C125*D125/1000,0)</f>
        <v>3000</v>
      </c>
      <c r="C125" s="12">
        <v>250000</v>
      </c>
      <c r="D125" s="13">
        <v>12</v>
      </c>
      <c r="E125" s="32" t="s">
        <v>235</v>
      </c>
    </row>
    <row r="126" spans="1:5" ht="13.5">
      <c r="A126" s="32" t="s">
        <v>110</v>
      </c>
      <c r="B126" s="48">
        <f>ROUNDUP(C126*D126/1000,0)</f>
        <v>427</v>
      </c>
      <c r="C126" s="34">
        <f>C125/22/8*1.25</f>
        <v>1775.568181818182</v>
      </c>
      <c r="D126" s="35">
        <v>240</v>
      </c>
      <c r="E126" s="32" t="s">
        <v>242</v>
      </c>
    </row>
    <row r="127" spans="1:5" s="51" customFormat="1" ht="13.5">
      <c r="A127" s="47" t="s">
        <v>112</v>
      </c>
      <c r="B127" s="48">
        <f>ROUNDUP(C127*D127/1000,0)</f>
        <v>10</v>
      </c>
      <c r="C127" s="49">
        <v>9200</v>
      </c>
      <c r="D127" s="50">
        <v>1</v>
      </c>
      <c r="E127" s="47" t="s">
        <v>38</v>
      </c>
    </row>
    <row r="128" spans="1:5" ht="13.5">
      <c r="A128" s="32" t="s">
        <v>113</v>
      </c>
      <c r="B128" s="41">
        <f aca="true" t="shared" si="8" ref="B128:B135">ROUNDUP(C128*D128/1000,0)</f>
        <v>150</v>
      </c>
      <c r="C128" s="34">
        <f>250000*12*0.05</f>
        <v>150000</v>
      </c>
      <c r="D128" s="35">
        <v>1</v>
      </c>
      <c r="E128" s="32" t="s">
        <v>209</v>
      </c>
    </row>
    <row r="129" spans="1:5" ht="13.5">
      <c r="A129" s="32" t="s">
        <v>114</v>
      </c>
      <c r="B129" s="41">
        <f t="shared" si="8"/>
        <v>24</v>
      </c>
      <c r="C129" s="34">
        <f>250000*12*0.0079</f>
        <v>23700.000000000004</v>
      </c>
      <c r="D129" s="35">
        <v>1</v>
      </c>
      <c r="E129" s="32" t="s">
        <v>288</v>
      </c>
    </row>
    <row r="130" spans="1:5" ht="13.5">
      <c r="A130" s="32" t="s">
        <v>289</v>
      </c>
      <c r="B130" s="41">
        <f t="shared" si="8"/>
        <v>6</v>
      </c>
      <c r="C130" s="34">
        <f>250000*12*0.002</f>
        <v>6000</v>
      </c>
      <c r="D130" s="35">
        <v>1</v>
      </c>
      <c r="E130" s="32" t="s">
        <v>376</v>
      </c>
    </row>
    <row r="131" spans="1:5" ht="13.5">
      <c r="A131" s="32" t="s">
        <v>377</v>
      </c>
      <c r="B131" s="41">
        <f t="shared" si="8"/>
        <v>275</v>
      </c>
      <c r="C131" s="34">
        <f>250000*12*91.5/1000</f>
        <v>274500</v>
      </c>
      <c r="D131" s="35">
        <v>1</v>
      </c>
      <c r="E131" s="32" t="s">
        <v>378</v>
      </c>
    </row>
    <row r="132" spans="1:5" ht="13.5">
      <c r="A132" s="32" t="s">
        <v>115</v>
      </c>
      <c r="B132" s="41">
        <f t="shared" si="8"/>
        <v>21</v>
      </c>
      <c r="C132" s="34">
        <f>250000*12*0.007</f>
        <v>21000</v>
      </c>
      <c r="D132" s="35">
        <v>1</v>
      </c>
      <c r="E132" s="32" t="s">
        <v>379</v>
      </c>
    </row>
    <row r="133" spans="1:5" ht="13.5">
      <c r="A133" s="32" t="s">
        <v>116</v>
      </c>
      <c r="B133" s="41">
        <f t="shared" si="8"/>
        <v>9</v>
      </c>
      <c r="C133" s="34">
        <f>250000*12*0.003</f>
        <v>9000</v>
      </c>
      <c r="D133" s="35">
        <v>1</v>
      </c>
      <c r="E133" s="32" t="s">
        <v>213</v>
      </c>
    </row>
    <row r="134" spans="1:5" ht="13.5">
      <c r="A134" s="18" t="s">
        <v>117</v>
      </c>
      <c r="B134" s="113">
        <f t="shared" si="8"/>
        <v>1</v>
      </c>
      <c r="C134" s="20">
        <f>250000*12*0.00002</f>
        <v>60.00000000000001</v>
      </c>
      <c r="D134" s="21">
        <v>1</v>
      </c>
      <c r="E134" s="18" t="s">
        <v>380</v>
      </c>
    </row>
    <row r="135" spans="1:5" ht="13.5">
      <c r="A135" s="32" t="s">
        <v>119</v>
      </c>
      <c r="B135" s="41">
        <f t="shared" si="8"/>
        <v>6480</v>
      </c>
      <c r="C135" s="112">
        <v>180000</v>
      </c>
      <c r="D135" s="35">
        <v>36</v>
      </c>
      <c r="E135" s="32" t="s">
        <v>259</v>
      </c>
    </row>
    <row r="136" spans="1:5" ht="13.5">
      <c r="A136" s="32" t="s">
        <v>110</v>
      </c>
      <c r="B136" s="48">
        <f>ROUNDUP(C136*D136/1000,0)</f>
        <v>921</v>
      </c>
      <c r="C136" s="34">
        <f>C135/22/8*1.25</f>
        <v>1278.409090909091</v>
      </c>
      <c r="D136" s="35">
        <v>720</v>
      </c>
      <c r="E136" s="32" t="s">
        <v>260</v>
      </c>
    </row>
    <row r="137" spans="1:5" s="51" customFormat="1" ht="13.5">
      <c r="A137" s="47" t="s">
        <v>112</v>
      </c>
      <c r="B137" s="55">
        <f aca="true" t="shared" si="9" ref="B137:B144">ROUNDUP(C137*D137/1000,0)</f>
        <v>28</v>
      </c>
      <c r="C137" s="56">
        <v>9200</v>
      </c>
      <c r="D137" s="57">
        <v>3</v>
      </c>
      <c r="E137" s="54" t="s">
        <v>38</v>
      </c>
    </row>
    <row r="138" spans="1:5" ht="13.5">
      <c r="A138" s="32" t="s">
        <v>113</v>
      </c>
      <c r="B138" s="41">
        <f t="shared" si="9"/>
        <v>324</v>
      </c>
      <c r="C138" s="34">
        <f>180000*12*0.05</f>
        <v>108000</v>
      </c>
      <c r="D138" s="35">
        <v>3</v>
      </c>
      <c r="E138" s="32" t="s">
        <v>210</v>
      </c>
    </row>
    <row r="139" spans="1:5" ht="13.5">
      <c r="A139" s="32" t="s">
        <v>114</v>
      </c>
      <c r="B139" s="41">
        <f t="shared" si="9"/>
        <v>52</v>
      </c>
      <c r="C139" s="34">
        <f>180000*12*0.0079</f>
        <v>17064</v>
      </c>
      <c r="D139" s="35">
        <v>3</v>
      </c>
      <c r="E139" s="32" t="s">
        <v>284</v>
      </c>
    </row>
    <row r="140" spans="1:5" ht="13.5">
      <c r="A140" s="32" t="s">
        <v>289</v>
      </c>
      <c r="B140" s="41">
        <f t="shared" si="9"/>
        <v>13</v>
      </c>
      <c r="C140" s="34">
        <f>180000*12*0.002</f>
        <v>4320</v>
      </c>
      <c r="D140" s="35">
        <v>3</v>
      </c>
      <c r="E140" s="32" t="s">
        <v>381</v>
      </c>
    </row>
    <row r="141" spans="1:5" ht="13.5">
      <c r="A141" s="32" t="s">
        <v>377</v>
      </c>
      <c r="B141" s="41">
        <f t="shared" si="9"/>
        <v>593</v>
      </c>
      <c r="C141" s="34">
        <f>180000*12*91.5/1000</f>
        <v>197640</v>
      </c>
      <c r="D141" s="35">
        <v>3</v>
      </c>
      <c r="E141" s="32" t="s">
        <v>382</v>
      </c>
    </row>
    <row r="142" spans="1:5" ht="13.5">
      <c r="A142" s="32" t="s">
        <v>115</v>
      </c>
      <c r="B142" s="41">
        <f t="shared" si="9"/>
        <v>46</v>
      </c>
      <c r="C142" s="34">
        <f>180000*12*0.007</f>
        <v>15120</v>
      </c>
      <c r="D142" s="35">
        <v>3</v>
      </c>
      <c r="E142" s="32" t="s">
        <v>383</v>
      </c>
    </row>
    <row r="143" spans="1:5" ht="13.5">
      <c r="A143" s="32" t="s">
        <v>116</v>
      </c>
      <c r="B143" s="41">
        <f t="shared" si="9"/>
        <v>20</v>
      </c>
      <c r="C143" s="34">
        <f>180000*12*0.003</f>
        <v>6480</v>
      </c>
      <c r="D143" s="35">
        <v>3</v>
      </c>
      <c r="E143" s="32" t="s">
        <v>214</v>
      </c>
    </row>
    <row r="144" spans="1:5" ht="13.5">
      <c r="A144" s="32" t="s">
        <v>117</v>
      </c>
      <c r="B144" s="52">
        <f t="shared" si="9"/>
        <v>1</v>
      </c>
      <c r="C144" s="100">
        <f>180000*12*0.00002</f>
        <v>43.2</v>
      </c>
      <c r="D144" s="17">
        <v>3</v>
      </c>
      <c r="E144" s="14" t="s">
        <v>384</v>
      </c>
    </row>
    <row r="145" spans="1:5" ht="15" customHeight="1">
      <c r="A145" s="8" t="s">
        <v>146</v>
      </c>
      <c r="B145" s="9">
        <f>B146+B159</f>
        <v>10964</v>
      </c>
      <c r="C145" s="163"/>
      <c r="D145" s="164"/>
      <c r="E145" s="8"/>
    </row>
    <row r="146" spans="1:5" ht="13.5">
      <c r="A146" s="14" t="s">
        <v>120</v>
      </c>
      <c r="B146" s="15">
        <f>SUM(B147:B158)</f>
        <v>2802</v>
      </c>
      <c r="C146" s="100"/>
      <c r="D146" s="17"/>
      <c r="E146" s="14"/>
    </row>
    <row r="147" spans="1:5" ht="13.5">
      <c r="A147" s="14" t="s">
        <v>121</v>
      </c>
      <c r="B147" s="15">
        <f aca="true" t="shared" si="10" ref="B147:B158">ROUNDUP(C147*D147/1000,0)</f>
        <v>780</v>
      </c>
      <c r="C147" s="100">
        <v>65000</v>
      </c>
      <c r="D147" s="17">
        <v>12</v>
      </c>
      <c r="E147" s="14" t="s">
        <v>192</v>
      </c>
    </row>
    <row r="148" spans="1:5" ht="13.5">
      <c r="A148" s="14" t="s">
        <v>126</v>
      </c>
      <c r="B148" s="15">
        <f t="shared" si="10"/>
        <v>288</v>
      </c>
      <c r="C148" s="100">
        <v>24000</v>
      </c>
      <c r="D148" s="17">
        <v>12</v>
      </c>
      <c r="E148" s="14" t="s">
        <v>193</v>
      </c>
    </row>
    <row r="149" spans="1:5" ht="13.5">
      <c r="A149" s="14" t="s">
        <v>122</v>
      </c>
      <c r="B149" s="15">
        <f t="shared" si="10"/>
        <v>360</v>
      </c>
      <c r="C149" s="100">
        <v>30000</v>
      </c>
      <c r="D149" s="17">
        <v>12</v>
      </c>
      <c r="E149" s="14" t="s">
        <v>123</v>
      </c>
    </row>
    <row r="150" spans="1:5" ht="13.5">
      <c r="A150" s="14" t="s">
        <v>30</v>
      </c>
      <c r="B150" s="15">
        <f t="shared" si="10"/>
        <v>216</v>
      </c>
      <c r="C150" s="100">
        <v>18000</v>
      </c>
      <c r="D150" s="17">
        <v>12</v>
      </c>
      <c r="E150" s="14" t="s">
        <v>237</v>
      </c>
    </row>
    <row r="151" spans="1:5" ht="13.5">
      <c r="A151" s="14" t="s">
        <v>74</v>
      </c>
      <c r="B151" s="15">
        <f t="shared" si="10"/>
        <v>312</v>
      </c>
      <c r="C151" s="100">
        <f>26000*1</f>
        <v>26000</v>
      </c>
      <c r="D151" s="17">
        <v>12</v>
      </c>
      <c r="E151" s="14" t="s">
        <v>75</v>
      </c>
    </row>
    <row r="152" spans="1:5" ht="13.5">
      <c r="A152" s="14" t="s">
        <v>76</v>
      </c>
      <c r="B152" s="15">
        <f t="shared" si="10"/>
        <v>123</v>
      </c>
      <c r="C152" s="100">
        <f>10200*1</f>
        <v>10200</v>
      </c>
      <c r="D152" s="17">
        <v>12</v>
      </c>
      <c r="E152" s="14" t="s">
        <v>77</v>
      </c>
    </row>
    <row r="153" spans="1:5" ht="13.5">
      <c r="A153" s="14" t="s">
        <v>124</v>
      </c>
      <c r="B153" s="15">
        <f t="shared" si="10"/>
        <v>27</v>
      </c>
      <c r="C153" s="100">
        <v>2200</v>
      </c>
      <c r="D153" s="17">
        <v>12</v>
      </c>
      <c r="E153" s="14" t="s">
        <v>125</v>
      </c>
    </row>
    <row r="154" spans="1:5" ht="13.5">
      <c r="A154" s="14" t="s">
        <v>12</v>
      </c>
      <c r="B154" s="15">
        <f t="shared" si="10"/>
        <v>144</v>
      </c>
      <c r="C154" s="100">
        <v>12000</v>
      </c>
      <c r="D154" s="17">
        <v>12</v>
      </c>
      <c r="E154" s="14"/>
    </row>
    <row r="155" spans="1:5" ht="13.5">
      <c r="A155" s="14" t="s">
        <v>13</v>
      </c>
      <c r="B155" s="15">
        <f t="shared" si="10"/>
        <v>120</v>
      </c>
      <c r="C155" s="100">
        <v>10000</v>
      </c>
      <c r="D155" s="17">
        <v>12</v>
      </c>
      <c r="E155" s="14"/>
    </row>
    <row r="156" spans="1:5" ht="13.5">
      <c r="A156" s="14" t="s">
        <v>78</v>
      </c>
      <c r="B156" s="15">
        <f t="shared" si="10"/>
        <v>144</v>
      </c>
      <c r="C156" s="100">
        <v>12000</v>
      </c>
      <c r="D156" s="17">
        <v>12</v>
      </c>
      <c r="E156" s="14" t="s">
        <v>36</v>
      </c>
    </row>
    <row r="157" spans="1:5" ht="13.5">
      <c r="A157" s="14" t="s">
        <v>79</v>
      </c>
      <c r="B157" s="15">
        <f t="shared" si="10"/>
        <v>168</v>
      </c>
      <c r="C157" s="100">
        <v>14000</v>
      </c>
      <c r="D157" s="17">
        <v>12</v>
      </c>
      <c r="E157" s="111" t="s">
        <v>323</v>
      </c>
    </row>
    <row r="158" spans="1:5" ht="13.5">
      <c r="A158" s="18" t="s">
        <v>13</v>
      </c>
      <c r="B158" s="19">
        <f t="shared" si="10"/>
        <v>120</v>
      </c>
      <c r="C158" s="20">
        <v>10000</v>
      </c>
      <c r="D158" s="21">
        <v>12</v>
      </c>
      <c r="E158" s="18"/>
    </row>
    <row r="159" spans="1:5" ht="13.5">
      <c r="A159" s="32" t="s">
        <v>128</v>
      </c>
      <c r="B159" s="138">
        <f>SUM(B160:B174)</f>
        <v>8162</v>
      </c>
      <c r="C159" s="34"/>
      <c r="D159" s="35"/>
      <c r="E159" s="32"/>
    </row>
    <row r="160" spans="1:5" ht="13.5">
      <c r="A160" s="32" t="s">
        <v>129</v>
      </c>
      <c r="B160" s="15">
        <f>ROUNDUP(C160*D160/1000,0)</f>
        <v>1800</v>
      </c>
      <c r="C160" s="100">
        <v>150000</v>
      </c>
      <c r="D160" s="17">
        <v>12</v>
      </c>
      <c r="E160" s="32" t="s">
        <v>194</v>
      </c>
    </row>
    <row r="161" spans="1:5" ht="13.5">
      <c r="A161" s="32" t="s">
        <v>130</v>
      </c>
      <c r="B161" s="15">
        <f aca="true" t="shared" si="11" ref="B161:B173">ROUNDUP(C161*D161/1000,0)</f>
        <v>312</v>
      </c>
      <c r="C161" s="100">
        <v>26000</v>
      </c>
      <c r="D161" s="17">
        <v>12</v>
      </c>
      <c r="E161" s="32" t="s">
        <v>195</v>
      </c>
    </row>
    <row r="162" spans="1:5" ht="13.5">
      <c r="A162" s="32" t="s">
        <v>133</v>
      </c>
      <c r="B162" s="15">
        <f t="shared" si="11"/>
        <v>1080</v>
      </c>
      <c r="C162" s="100">
        <v>90000</v>
      </c>
      <c r="D162" s="17">
        <v>12</v>
      </c>
      <c r="E162" s="32" t="s">
        <v>131</v>
      </c>
    </row>
    <row r="163" spans="1:5" ht="13.5">
      <c r="A163" s="32" t="s">
        <v>132</v>
      </c>
      <c r="B163" s="15">
        <f t="shared" si="11"/>
        <v>840</v>
      </c>
      <c r="C163" s="100">
        <v>70000</v>
      </c>
      <c r="D163" s="17">
        <v>12</v>
      </c>
      <c r="E163" s="32" t="s">
        <v>196</v>
      </c>
    </row>
    <row r="164" spans="1:5" ht="13.5">
      <c r="A164" s="32" t="s">
        <v>138</v>
      </c>
      <c r="B164" s="33">
        <f t="shared" si="11"/>
        <v>80</v>
      </c>
      <c r="C164" s="34">
        <v>20000</v>
      </c>
      <c r="D164" s="35">
        <v>4</v>
      </c>
      <c r="E164" s="32" t="s">
        <v>189</v>
      </c>
    </row>
    <row r="165" spans="1:5" ht="13.5">
      <c r="A165" s="32" t="s">
        <v>134</v>
      </c>
      <c r="B165" s="33">
        <f t="shared" si="11"/>
        <v>240</v>
      </c>
      <c r="C165" s="34">
        <v>60000</v>
      </c>
      <c r="D165" s="35">
        <v>4</v>
      </c>
      <c r="E165" s="32" t="s">
        <v>139</v>
      </c>
    </row>
    <row r="166" spans="1:5" ht="13.5">
      <c r="A166" s="32" t="s">
        <v>141</v>
      </c>
      <c r="B166" s="33">
        <f>ROUNDUP(C166*D166/1000,0)</f>
        <v>50</v>
      </c>
      <c r="C166" s="34">
        <v>50000</v>
      </c>
      <c r="D166" s="35">
        <v>1</v>
      </c>
      <c r="E166" s="32"/>
    </row>
    <row r="167" spans="1:5" ht="13.5">
      <c r="A167" s="32" t="s">
        <v>140</v>
      </c>
      <c r="B167" s="33">
        <f t="shared" si="11"/>
        <v>100</v>
      </c>
      <c r="C167" s="34">
        <v>100000</v>
      </c>
      <c r="D167" s="35">
        <v>1</v>
      </c>
      <c r="E167" s="32" t="s">
        <v>142</v>
      </c>
    </row>
    <row r="168" spans="1:5" ht="13.5">
      <c r="A168" s="32" t="s">
        <v>135</v>
      </c>
      <c r="B168" s="33">
        <f t="shared" si="11"/>
        <v>100</v>
      </c>
      <c r="C168" s="34">
        <v>100000</v>
      </c>
      <c r="D168" s="35">
        <v>1</v>
      </c>
      <c r="E168" s="32" t="s">
        <v>143</v>
      </c>
    </row>
    <row r="169" spans="1:5" ht="13.5">
      <c r="A169" s="32" t="s">
        <v>137</v>
      </c>
      <c r="B169" s="33">
        <f t="shared" si="11"/>
        <v>20</v>
      </c>
      <c r="C169" s="34">
        <v>20000</v>
      </c>
      <c r="D169" s="35">
        <v>1</v>
      </c>
      <c r="E169" s="32" t="s">
        <v>144</v>
      </c>
    </row>
    <row r="170" spans="1:5" ht="13.5">
      <c r="A170" s="32" t="s">
        <v>145</v>
      </c>
      <c r="B170" s="33">
        <f t="shared" si="11"/>
        <v>2400</v>
      </c>
      <c r="C170" s="34">
        <v>200000</v>
      </c>
      <c r="D170" s="35">
        <v>12</v>
      </c>
      <c r="E170" s="32" t="s">
        <v>197</v>
      </c>
    </row>
    <row r="171" spans="1:5" ht="13.5">
      <c r="A171" s="32" t="s">
        <v>248</v>
      </c>
      <c r="B171" s="138">
        <f t="shared" si="11"/>
        <v>480</v>
      </c>
      <c r="C171" s="34">
        <v>120000</v>
      </c>
      <c r="D171" s="35">
        <v>4</v>
      </c>
      <c r="E171" s="14" t="s">
        <v>148</v>
      </c>
    </row>
    <row r="172" spans="1:5" ht="13.5">
      <c r="A172" s="32" t="s">
        <v>249</v>
      </c>
      <c r="B172" s="138">
        <f t="shared" si="11"/>
        <v>90</v>
      </c>
      <c r="C172" s="34">
        <v>30000</v>
      </c>
      <c r="D172" s="35">
        <v>3</v>
      </c>
      <c r="E172" s="14" t="s">
        <v>250</v>
      </c>
    </row>
    <row r="173" spans="1:5" ht="13.5">
      <c r="A173" s="14" t="s">
        <v>147</v>
      </c>
      <c r="B173" s="15">
        <f t="shared" si="11"/>
        <v>480</v>
      </c>
      <c r="C173" s="100">
        <v>120000</v>
      </c>
      <c r="D173" s="17">
        <v>4</v>
      </c>
      <c r="E173" s="14" t="s">
        <v>198</v>
      </c>
    </row>
    <row r="174" spans="1:5" ht="14.25" thickBot="1">
      <c r="A174" s="18" t="s">
        <v>136</v>
      </c>
      <c r="B174" s="19">
        <f>ROUNDUP(C174*D174/1000,0)</f>
        <v>90</v>
      </c>
      <c r="C174" s="20">
        <v>30000</v>
      </c>
      <c r="D174" s="21">
        <v>3</v>
      </c>
      <c r="E174" s="18" t="s">
        <v>191</v>
      </c>
    </row>
    <row r="175" spans="1:5" ht="15" customHeight="1">
      <c r="A175" s="26" t="s">
        <v>154</v>
      </c>
      <c r="B175" s="27">
        <f>B4+B122</f>
        <v>50249</v>
      </c>
      <c r="C175" s="171"/>
      <c r="D175" s="172"/>
      <c r="E175" s="26"/>
    </row>
    <row r="176" spans="1:5" ht="15" customHeight="1">
      <c r="A176" s="7" t="s">
        <v>31</v>
      </c>
      <c r="B176" s="44">
        <f>ROUNDDOWN(B175*0.08,0)</f>
        <v>4019</v>
      </c>
      <c r="C176" s="173"/>
      <c r="D176" s="174"/>
      <c r="E176" s="6"/>
    </row>
    <row r="177" spans="1:5" ht="23.25" customHeight="1" thickBot="1">
      <c r="A177" s="24" t="s">
        <v>33</v>
      </c>
      <c r="B177" s="25">
        <f>B175+B176</f>
        <v>54268</v>
      </c>
      <c r="C177" s="175"/>
      <c r="D177" s="176"/>
      <c r="E177" s="39"/>
    </row>
  </sheetData>
  <sheetProtection/>
  <mergeCells count="26">
    <mergeCell ref="A1:E1"/>
    <mergeCell ref="C5:D5"/>
    <mergeCell ref="C6:D6"/>
    <mergeCell ref="C73:D73"/>
    <mergeCell ref="C56:D56"/>
    <mergeCell ref="C57:D57"/>
    <mergeCell ref="C36:D36"/>
    <mergeCell ref="C64:D64"/>
    <mergeCell ref="C3:D3"/>
    <mergeCell ref="C58:D58"/>
    <mergeCell ref="C177:D177"/>
    <mergeCell ref="C176:D176"/>
    <mergeCell ref="C117:D117"/>
    <mergeCell ref="C114:D114"/>
    <mergeCell ref="C175:D175"/>
    <mergeCell ref="C88:D88"/>
    <mergeCell ref="C89:D89"/>
    <mergeCell ref="C103:D103"/>
    <mergeCell ref="C123:D123"/>
    <mergeCell ref="C124:D124"/>
    <mergeCell ref="C145:D145"/>
    <mergeCell ref="C4:D4"/>
    <mergeCell ref="C122:D122"/>
    <mergeCell ref="C113:D113"/>
    <mergeCell ref="C83:D83"/>
    <mergeCell ref="C96:D9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&amp;R&amp;10&amp;A　&amp;P／&amp;N</oddHeader>
    <oddFooter>&amp;C&amp;10&amp;A　&amp;P／&amp;N</oddFooter>
  </headerFooter>
  <rowBreaks count="2" manualBreakCount="2">
    <brk id="63" max="255" man="1"/>
    <brk id="121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view="pageBreakPreview" zoomScaleSheetLayoutView="100" workbookViewId="0" topLeftCell="A106">
      <selection activeCell="D99" sqref="D99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40" customWidth="1"/>
  </cols>
  <sheetData>
    <row r="1" spans="1:5" ht="17.25">
      <c r="A1" s="154" t="s">
        <v>324</v>
      </c>
      <c r="B1" s="154"/>
      <c r="C1" s="154"/>
      <c r="D1" s="154"/>
      <c r="E1" s="154"/>
    </row>
    <row r="2" spans="1:5" ht="18" thickBot="1">
      <c r="A2" s="46" t="s">
        <v>63</v>
      </c>
      <c r="B2" s="103"/>
      <c r="C2" s="103"/>
      <c r="D2" s="103"/>
      <c r="E2" s="103"/>
    </row>
    <row r="3" spans="1:5" ht="27.75" thickBot="1">
      <c r="A3" s="2" t="s">
        <v>2</v>
      </c>
      <c r="B3" s="3" t="s">
        <v>24</v>
      </c>
      <c r="C3" s="155" t="s">
        <v>3</v>
      </c>
      <c r="D3" s="156"/>
      <c r="E3" s="2" t="s">
        <v>4</v>
      </c>
    </row>
    <row r="4" spans="1:5" ht="15" customHeight="1" thickBot="1">
      <c r="A4" s="105" t="s">
        <v>152</v>
      </c>
      <c r="B4" s="106">
        <f>B5+B56</f>
        <v>27185</v>
      </c>
      <c r="C4" s="157">
        <f>B4/B174</f>
        <v>0.542939884162173</v>
      </c>
      <c r="D4" s="158"/>
      <c r="E4" s="107" t="s">
        <v>178</v>
      </c>
    </row>
    <row r="5" spans="1:5" ht="15" customHeight="1">
      <c r="A5" s="1" t="s">
        <v>5</v>
      </c>
      <c r="B5" s="4">
        <f>B6+B36</f>
        <v>12392</v>
      </c>
      <c r="C5" s="159">
        <f>B5/$B$174</f>
        <v>0.24749350908727782</v>
      </c>
      <c r="D5" s="160"/>
      <c r="E5" s="36" t="s">
        <v>150</v>
      </c>
    </row>
    <row r="6" spans="1:5" ht="15" customHeight="1" thickBot="1">
      <c r="A6" s="8" t="s">
        <v>0</v>
      </c>
      <c r="B6" s="9">
        <f>SUM(B7:B35)</f>
        <v>9963</v>
      </c>
      <c r="C6" s="161">
        <f>B6/$B$174</f>
        <v>0.19898142600359497</v>
      </c>
      <c r="D6" s="162"/>
      <c r="E6" s="37" t="s">
        <v>151</v>
      </c>
    </row>
    <row r="7" spans="1:5" ht="13.5">
      <c r="A7" s="10" t="s">
        <v>46</v>
      </c>
      <c r="B7" s="43">
        <f>ROUNDUP(C7*D7/1000,0)</f>
        <v>3600</v>
      </c>
      <c r="C7" s="12">
        <v>300000</v>
      </c>
      <c r="D7" s="13">
        <v>12</v>
      </c>
      <c r="E7" s="32" t="s">
        <v>64</v>
      </c>
    </row>
    <row r="8" spans="1:5" ht="13.5">
      <c r="A8" s="32" t="s">
        <v>51</v>
      </c>
      <c r="B8" s="48">
        <f>ROUNDUP(C8*D8/1000,0)</f>
        <v>384</v>
      </c>
      <c r="C8" s="34">
        <f>C7/22/8*1.25</f>
        <v>2130.681818181818</v>
      </c>
      <c r="D8" s="35">
        <v>180</v>
      </c>
      <c r="E8" s="32" t="s">
        <v>171</v>
      </c>
    </row>
    <row r="9" spans="1:5" s="51" customFormat="1" ht="13.5">
      <c r="A9" s="47" t="s">
        <v>37</v>
      </c>
      <c r="B9" s="48">
        <f>ROUNDUP(C9*D9/1000,0)</f>
        <v>10</v>
      </c>
      <c r="C9" s="49">
        <v>9200</v>
      </c>
      <c r="D9" s="50">
        <v>1</v>
      </c>
      <c r="E9" s="47" t="s">
        <v>38</v>
      </c>
    </row>
    <row r="10" spans="1:5" ht="13.5">
      <c r="A10" s="32" t="s">
        <v>6</v>
      </c>
      <c r="B10" s="41">
        <f aca="true" t="shared" si="0" ref="B10:B35">ROUNDUP(C10*D10/1000,0)</f>
        <v>180</v>
      </c>
      <c r="C10" s="34">
        <f>300000*12*0.05</f>
        <v>180000</v>
      </c>
      <c r="D10" s="35">
        <v>1</v>
      </c>
      <c r="E10" s="32" t="s">
        <v>206</v>
      </c>
    </row>
    <row r="11" spans="1:5" ht="13.5">
      <c r="A11" s="32" t="s">
        <v>7</v>
      </c>
      <c r="B11" s="41">
        <f t="shared" si="0"/>
        <v>29</v>
      </c>
      <c r="C11" s="34">
        <f>300000*12*0.0079</f>
        <v>28440.000000000004</v>
      </c>
      <c r="D11" s="35">
        <v>1</v>
      </c>
      <c r="E11" s="32" t="s">
        <v>285</v>
      </c>
    </row>
    <row r="12" spans="1:5" ht="13.5">
      <c r="A12" s="32" t="s">
        <v>290</v>
      </c>
      <c r="B12" s="41">
        <f t="shared" si="0"/>
        <v>8</v>
      </c>
      <c r="C12" s="34">
        <f>300000*12*0.002</f>
        <v>7200</v>
      </c>
      <c r="D12" s="35">
        <v>1</v>
      </c>
      <c r="E12" s="32" t="s">
        <v>364</v>
      </c>
    </row>
    <row r="13" spans="1:5" ht="13.5">
      <c r="A13" s="32" t="s">
        <v>293</v>
      </c>
      <c r="B13" s="41">
        <f t="shared" si="0"/>
        <v>330</v>
      </c>
      <c r="C13" s="34">
        <f>300000*12*91.5/1000</f>
        <v>329400</v>
      </c>
      <c r="D13" s="35">
        <v>1</v>
      </c>
      <c r="E13" s="32" t="s">
        <v>386</v>
      </c>
    </row>
    <row r="14" spans="1:5" ht="13.5">
      <c r="A14" s="32" t="s">
        <v>8</v>
      </c>
      <c r="B14" s="41">
        <f t="shared" si="0"/>
        <v>26</v>
      </c>
      <c r="C14" s="34">
        <f>300000*12*0.007</f>
        <v>25200</v>
      </c>
      <c r="D14" s="35">
        <v>1</v>
      </c>
      <c r="E14" s="14" t="s">
        <v>367</v>
      </c>
    </row>
    <row r="15" spans="1:5" ht="13.5">
      <c r="A15" s="32" t="s">
        <v>9</v>
      </c>
      <c r="B15" s="41">
        <f t="shared" si="0"/>
        <v>11</v>
      </c>
      <c r="C15" s="34">
        <f>300000*12*0.003</f>
        <v>10800</v>
      </c>
      <c r="D15" s="35">
        <v>1</v>
      </c>
      <c r="E15" s="32" t="s">
        <v>215</v>
      </c>
    </row>
    <row r="16" spans="1:5" ht="13.5">
      <c r="A16" s="32" t="s">
        <v>10</v>
      </c>
      <c r="B16" s="41">
        <f t="shared" si="0"/>
        <v>1</v>
      </c>
      <c r="C16" s="34">
        <f>300000*12*0.00002</f>
        <v>72</v>
      </c>
      <c r="D16" s="35">
        <v>1</v>
      </c>
      <c r="E16" s="32" t="s">
        <v>368</v>
      </c>
    </row>
    <row r="17" spans="1:5" ht="13.5">
      <c r="A17" s="14" t="s">
        <v>65</v>
      </c>
      <c r="B17" s="52">
        <f t="shared" si="0"/>
        <v>2400</v>
      </c>
      <c r="C17" s="53">
        <v>200000</v>
      </c>
      <c r="D17" s="17">
        <v>12</v>
      </c>
      <c r="E17" s="14" t="s">
        <v>261</v>
      </c>
    </row>
    <row r="18" spans="1:5" ht="13.5">
      <c r="A18" s="32" t="s">
        <v>51</v>
      </c>
      <c r="B18" s="48">
        <f>ROUNDUP(C18*D18/1000,0)</f>
        <v>341</v>
      </c>
      <c r="C18" s="34">
        <f>C17/22/8*1.25</f>
        <v>1420.4545454545453</v>
      </c>
      <c r="D18" s="35">
        <v>240</v>
      </c>
      <c r="E18" s="32" t="s">
        <v>262</v>
      </c>
    </row>
    <row r="19" spans="1:5" s="51" customFormat="1" ht="13.5">
      <c r="A19" s="54" t="s">
        <v>66</v>
      </c>
      <c r="B19" s="55">
        <f t="shared" si="0"/>
        <v>10</v>
      </c>
      <c r="C19" s="56">
        <v>9200</v>
      </c>
      <c r="D19" s="57">
        <v>1</v>
      </c>
      <c r="E19" s="54" t="s">
        <v>38</v>
      </c>
    </row>
    <row r="20" spans="1:5" ht="13.5">
      <c r="A20" s="32" t="s">
        <v>67</v>
      </c>
      <c r="B20" s="41">
        <f t="shared" si="0"/>
        <v>120</v>
      </c>
      <c r="C20" s="34">
        <f>C17*12*0.05</f>
        <v>120000</v>
      </c>
      <c r="D20" s="35">
        <v>1</v>
      </c>
      <c r="E20" s="32" t="s">
        <v>207</v>
      </c>
    </row>
    <row r="21" spans="1:5" ht="13.5">
      <c r="A21" s="32" t="s">
        <v>68</v>
      </c>
      <c r="B21" s="41">
        <f t="shared" si="0"/>
        <v>19</v>
      </c>
      <c r="C21" s="34">
        <f>C17*12*0.0079</f>
        <v>18960.000000000004</v>
      </c>
      <c r="D21" s="35">
        <v>1</v>
      </c>
      <c r="E21" s="32" t="s">
        <v>286</v>
      </c>
    </row>
    <row r="22" spans="1:5" ht="13.5">
      <c r="A22" s="32" t="s">
        <v>291</v>
      </c>
      <c r="B22" s="41">
        <f t="shared" si="0"/>
        <v>5</v>
      </c>
      <c r="C22" s="34">
        <f>C17*12*0.002</f>
        <v>4800</v>
      </c>
      <c r="D22" s="35">
        <v>1</v>
      </c>
      <c r="E22" s="32" t="s">
        <v>387</v>
      </c>
    </row>
    <row r="23" spans="1:5" ht="13.5">
      <c r="A23" s="32" t="s">
        <v>294</v>
      </c>
      <c r="B23" s="41">
        <f t="shared" si="0"/>
        <v>220</v>
      </c>
      <c r="C23" s="34">
        <f>C17*12*91.5/1000</f>
        <v>219600</v>
      </c>
      <c r="D23" s="35">
        <v>1</v>
      </c>
      <c r="E23" s="32" t="s">
        <v>388</v>
      </c>
    </row>
    <row r="24" spans="1:5" ht="13.5">
      <c r="A24" s="32" t="s">
        <v>69</v>
      </c>
      <c r="B24" s="41">
        <f t="shared" si="0"/>
        <v>17</v>
      </c>
      <c r="C24" s="34">
        <f>C17*12*0.007</f>
        <v>16800</v>
      </c>
      <c r="D24" s="35">
        <v>1</v>
      </c>
      <c r="E24" s="32" t="s">
        <v>370</v>
      </c>
    </row>
    <row r="25" spans="1:5" ht="13.5">
      <c r="A25" s="32" t="s">
        <v>70</v>
      </c>
      <c r="B25" s="41">
        <f t="shared" si="0"/>
        <v>8</v>
      </c>
      <c r="C25" s="34">
        <f>C17*12*0.003</f>
        <v>7200</v>
      </c>
      <c r="D25" s="35">
        <v>1</v>
      </c>
      <c r="E25" s="32" t="s">
        <v>216</v>
      </c>
    </row>
    <row r="26" spans="1:5" ht="13.5">
      <c r="A26" s="32" t="s">
        <v>71</v>
      </c>
      <c r="B26" s="41">
        <f t="shared" si="0"/>
        <v>1</v>
      </c>
      <c r="C26" s="34">
        <f>C17*12*0.00002</f>
        <v>48.00000000000001</v>
      </c>
      <c r="D26" s="35">
        <v>1</v>
      </c>
      <c r="E26" s="32" t="s">
        <v>371</v>
      </c>
    </row>
    <row r="27" spans="1:5" ht="13.5">
      <c r="A27" s="14" t="s">
        <v>45</v>
      </c>
      <c r="B27" s="52">
        <f t="shared" si="0"/>
        <v>1920</v>
      </c>
      <c r="C27" s="53">
        <v>160000</v>
      </c>
      <c r="D27" s="17">
        <v>12</v>
      </c>
      <c r="E27" s="14" t="s">
        <v>170</v>
      </c>
    </row>
    <row r="28" spans="1:5" s="51" customFormat="1" ht="13.5">
      <c r="A28" s="54" t="s">
        <v>39</v>
      </c>
      <c r="B28" s="55">
        <f t="shared" si="0"/>
        <v>10</v>
      </c>
      <c r="C28" s="56">
        <v>9200</v>
      </c>
      <c r="D28" s="57">
        <v>1</v>
      </c>
      <c r="E28" s="54" t="s">
        <v>38</v>
      </c>
    </row>
    <row r="29" spans="1:5" ht="13.5">
      <c r="A29" s="32" t="s">
        <v>40</v>
      </c>
      <c r="B29" s="41">
        <f t="shared" si="0"/>
        <v>96</v>
      </c>
      <c r="C29" s="34">
        <f>160000*12*0.05</f>
        <v>96000</v>
      </c>
      <c r="D29" s="35">
        <v>1</v>
      </c>
      <c r="E29" s="32" t="s">
        <v>208</v>
      </c>
    </row>
    <row r="30" spans="1:5" ht="13.5">
      <c r="A30" s="32" t="s">
        <v>41</v>
      </c>
      <c r="B30" s="41">
        <f t="shared" si="0"/>
        <v>16</v>
      </c>
      <c r="C30" s="34">
        <f>160000*12*0.0079</f>
        <v>15168.000000000002</v>
      </c>
      <c r="D30" s="35">
        <v>1</v>
      </c>
      <c r="E30" s="32" t="s">
        <v>287</v>
      </c>
    </row>
    <row r="31" spans="1:5" ht="13.5">
      <c r="A31" s="32" t="s">
        <v>292</v>
      </c>
      <c r="B31" s="41">
        <f t="shared" si="0"/>
        <v>4</v>
      </c>
      <c r="C31" s="34">
        <f>160000*12*0.002</f>
        <v>3840</v>
      </c>
      <c r="D31" s="35">
        <v>1</v>
      </c>
      <c r="E31" s="32" t="s">
        <v>389</v>
      </c>
    </row>
    <row r="32" spans="1:5" ht="13.5">
      <c r="A32" s="32" t="s">
        <v>295</v>
      </c>
      <c r="B32" s="41">
        <f t="shared" si="0"/>
        <v>176</v>
      </c>
      <c r="C32" s="34">
        <f>160000*12*91.5/1000</f>
        <v>175680</v>
      </c>
      <c r="D32" s="35">
        <v>1</v>
      </c>
      <c r="E32" s="32" t="s">
        <v>390</v>
      </c>
    </row>
    <row r="33" spans="1:5" ht="13.5">
      <c r="A33" s="32" t="s">
        <v>42</v>
      </c>
      <c r="B33" s="41">
        <f t="shared" si="0"/>
        <v>14</v>
      </c>
      <c r="C33" s="34">
        <f>160000*12*0.007</f>
        <v>13440</v>
      </c>
      <c r="D33" s="35">
        <v>1</v>
      </c>
      <c r="E33" s="32" t="s">
        <v>373</v>
      </c>
    </row>
    <row r="34" spans="1:5" ht="13.5">
      <c r="A34" s="32" t="s">
        <v>43</v>
      </c>
      <c r="B34" s="41">
        <f t="shared" si="0"/>
        <v>6</v>
      </c>
      <c r="C34" s="34">
        <f>160000*12*0.003</f>
        <v>5760</v>
      </c>
      <c r="D34" s="35">
        <v>1</v>
      </c>
      <c r="E34" s="32" t="s">
        <v>212</v>
      </c>
    </row>
    <row r="35" spans="1:5" ht="13.5">
      <c r="A35" s="32" t="s">
        <v>44</v>
      </c>
      <c r="B35" s="41">
        <f t="shared" si="0"/>
        <v>1</v>
      </c>
      <c r="C35" s="34">
        <f>160000*12*0.00002</f>
        <v>38.400000000000006</v>
      </c>
      <c r="D35" s="35">
        <v>1</v>
      </c>
      <c r="E35" s="32" t="s">
        <v>374</v>
      </c>
    </row>
    <row r="36" spans="1:5" ht="15" customHeight="1">
      <c r="A36" s="8" t="s">
        <v>1</v>
      </c>
      <c r="B36" s="9">
        <f>B37+B41+B45+B49+B52</f>
        <v>2429</v>
      </c>
      <c r="C36" s="163"/>
      <c r="D36" s="164"/>
      <c r="E36" s="8"/>
    </row>
    <row r="37" spans="1:5" ht="13.5">
      <c r="A37" s="10" t="s">
        <v>80</v>
      </c>
      <c r="B37" s="11">
        <f>SUM(B38:B40)</f>
        <v>158</v>
      </c>
      <c r="C37" s="12"/>
      <c r="D37" s="13"/>
      <c r="E37" s="10"/>
    </row>
    <row r="38" spans="1:5" ht="13.5">
      <c r="A38" s="14" t="s">
        <v>81</v>
      </c>
      <c r="B38" s="15">
        <f>ROUNDUP(C38*D38/1000,0)</f>
        <v>59</v>
      </c>
      <c r="C38" s="100">
        <v>29260</v>
      </c>
      <c r="D38" s="17">
        <v>2</v>
      </c>
      <c r="E38" s="14" t="s">
        <v>72</v>
      </c>
    </row>
    <row r="39" spans="1:5" ht="13.5">
      <c r="A39" s="14" t="s">
        <v>82</v>
      </c>
      <c r="B39" s="15">
        <f>ROUNDUP(C39*D39/1000,0)</f>
        <v>10</v>
      </c>
      <c r="C39" s="100">
        <v>9860</v>
      </c>
      <c r="D39" s="17">
        <v>1</v>
      </c>
      <c r="E39" s="14" t="s">
        <v>47</v>
      </c>
    </row>
    <row r="40" spans="1:5" ht="13.5">
      <c r="A40" s="14" t="s">
        <v>81</v>
      </c>
      <c r="B40" s="15">
        <f>ROUNDUP(C40*D40/1000,0)</f>
        <v>89</v>
      </c>
      <c r="C40" s="100">
        <f>29260+4200+11000</f>
        <v>44460</v>
      </c>
      <c r="D40" s="17">
        <v>2</v>
      </c>
      <c r="E40" s="14" t="s">
        <v>300</v>
      </c>
    </row>
    <row r="41" spans="1:5" ht="13.5">
      <c r="A41" s="14" t="s">
        <v>11</v>
      </c>
      <c r="B41" s="15">
        <f>SUM(B42:B44)</f>
        <v>324</v>
      </c>
      <c r="C41" s="104"/>
      <c r="D41" s="101"/>
      <c r="E41" s="14"/>
    </row>
    <row r="42" spans="1:5" ht="13.5">
      <c r="A42" s="14" t="s">
        <v>12</v>
      </c>
      <c r="B42" s="15">
        <f>ROUNDUP(C42*D42/1000,0)</f>
        <v>144</v>
      </c>
      <c r="C42" s="100">
        <v>12000</v>
      </c>
      <c r="D42" s="17">
        <v>12</v>
      </c>
      <c r="E42" s="14"/>
    </row>
    <row r="43" spans="1:5" ht="13.5">
      <c r="A43" s="14" t="s">
        <v>13</v>
      </c>
      <c r="B43" s="15">
        <f>ROUNDUP(C43*D43/1000,0)</f>
        <v>120</v>
      </c>
      <c r="C43" s="100">
        <v>10000</v>
      </c>
      <c r="D43" s="17">
        <v>12</v>
      </c>
      <c r="E43" s="14"/>
    </row>
    <row r="44" spans="1:5" ht="13.5">
      <c r="A44" s="14" t="s">
        <v>14</v>
      </c>
      <c r="B44" s="15">
        <f>ROUNDUP(C44*D44/1000,0)</f>
        <v>60</v>
      </c>
      <c r="C44" s="100">
        <v>5000</v>
      </c>
      <c r="D44" s="17">
        <v>12</v>
      </c>
      <c r="E44" s="14"/>
    </row>
    <row r="45" spans="1:5" ht="13.5">
      <c r="A45" s="14" t="s">
        <v>73</v>
      </c>
      <c r="B45" s="15">
        <f>SUM(B46:B48)</f>
        <v>651</v>
      </c>
      <c r="C45" s="100"/>
      <c r="D45" s="17"/>
      <c r="E45" s="14"/>
    </row>
    <row r="46" spans="1:5" ht="13.5">
      <c r="A46" s="14" t="s">
        <v>30</v>
      </c>
      <c r="B46" s="15">
        <f>ROUNDUP(C46*D46/1000,0)</f>
        <v>216</v>
      </c>
      <c r="C46" s="100">
        <v>18000</v>
      </c>
      <c r="D46" s="17">
        <v>12</v>
      </c>
      <c r="E46" s="14" t="s">
        <v>301</v>
      </c>
    </row>
    <row r="47" spans="1:5" ht="13.5">
      <c r="A47" s="14" t="s">
        <v>74</v>
      </c>
      <c r="B47" s="15">
        <f>ROUNDUP(C47*D47/1000,0)</f>
        <v>312</v>
      </c>
      <c r="C47" s="100">
        <f>26000*1</f>
        <v>26000</v>
      </c>
      <c r="D47" s="17">
        <v>12</v>
      </c>
      <c r="E47" s="14" t="s">
        <v>75</v>
      </c>
    </row>
    <row r="48" spans="1:5" ht="13.5">
      <c r="A48" s="14" t="s">
        <v>76</v>
      </c>
      <c r="B48" s="15">
        <f>ROUNDUP(C48*D48/1000,0)</f>
        <v>123</v>
      </c>
      <c r="C48" s="100">
        <f>10200*1</f>
        <v>10200</v>
      </c>
      <c r="D48" s="17">
        <v>12</v>
      </c>
      <c r="E48" s="14" t="s">
        <v>77</v>
      </c>
    </row>
    <row r="49" spans="1:5" ht="13.5">
      <c r="A49" s="14" t="s">
        <v>15</v>
      </c>
      <c r="B49" s="15">
        <f>SUM(B50:B51)</f>
        <v>279</v>
      </c>
      <c r="C49" s="100"/>
      <c r="D49" s="17"/>
      <c r="E49" s="14"/>
    </row>
    <row r="50" spans="1:5" ht="13.5">
      <c r="A50" s="14" t="s">
        <v>79</v>
      </c>
      <c r="B50" s="15">
        <f>ROUNDUP(C50*D50/1000,0)</f>
        <v>135</v>
      </c>
      <c r="C50" s="100">
        <v>11200</v>
      </c>
      <c r="D50" s="17">
        <v>12</v>
      </c>
      <c r="E50" s="140" t="s">
        <v>169</v>
      </c>
    </row>
    <row r="51" spans="1:5" ht="13.5">
      <c r="A51" s="14" t="s">
        <v>78</v>
      </c>
      <c r="B51" s="15">
        <f>ROUNDUP(C51*D51/1000,0)</f>
        <v>144</v>
      </c>
      <c r="C51" s="100">
        <v>12000</v>
      </c>
      <c r="D51" s="17">
        <v>12</v>
      </c>
      <c r="E51" s="14" t="s">
        <v>36</v>
      </c>
    </row>
    <row r="52" spans="1:5" ht="13.5">
      <c r="A52" s="14" t="s">
        <v>172</v>
      </c>
      <c r="B52" s="15">
        <f>SUM(B53:B55)</f>
        <v>1017</v>
      </c>
      <c r="C52" s="100"/>
      <c r="D52" s="17"/>
      <c r="E52" s="140"/>
    </row>
    <row r="53" spans="1:5" ht="15" customHeight="1">
      <c r="A53" s="14" t="s">
        <v>121</v>
      </c>
      <c r="B53" s="15">
        <f>ROUNDUP(C53*D53/1000,0)</f>
        <v>585</v>
      </c>
      <c r="C53" s="100">
        <v>65000</v>
      </c>
      <c r="D53" s="17">
        <v>9</v>
      </c>
      <c r="E53" s="14" t="s">
        <v>184</v>
      </c>
    </row>
    <row r="54" spans="1:5" ht="15" customHeight="1">
      <c r="A54" s="14" t="s">
        <v>243</v>
      </c>
      <c r="B54" s="15">
        <f>ROUNDUP(C54*D54/1000,0)</f>
        <v>162</v>
      </c>
      <c r="C54" s="100">
        <v>18000</v>
      </c>
      <c r="D54" s="17">
        <v>9</v>
      </c>
      <c r="E54" s="14" t="s">
        <v>321</v>
      </c>
    </row>
    <row r="55" spans="1:5" ht="15" customHeight="1" thickBot="1">
      <c r="A55" s="28" t="s">
        <v>122</v>
      </c>
      <c r="B55" s="29">
        <f>ROUNDUP(C55*D55/1000,0)</f>
        <v>270</v>
      </c>
      <c r="C55" s="42">
        <v>30000</v>
      </c>
      <c r="D55" s="31">
        <v>9</v>
      </c>
      <c r="E55" s="28" t="s">
        <v>123</v>
      </c>
    </row>
    <row r="56" spans="1:5" ht="14.25" thickTop="1">
      <c r="A56" s="141" t="s">
        <v>16</v>
      </c>
      <c r="B56" s="142">
        <f>B57+B88+B113</f>
        <v>14793</v>
      </c>
      <c r="C56" s="165"/>
      <c r="D56" s="166"/>
      <c r="E56" s="143"/>
    </row>
    <row r="57" spans="1:5" ht="13.5">
      <c r="A57" s="22" t="s">
        <v>17</v>
      </c>
      <c r="B57" s="23">
        <f>B58+B64+B73+B83</f>
        <v>5512</v>
      </c>
      <c r="C57" s="167"/>
      <c r="D57" s="168"/>
      <c r="E57" s="22"/>
    </row>
    <row r="58" spans="1:5" ht="13.5">
      <c r="A58" s="8" t="s">
        <v>303</v>
      </c>
      <c r="B58" s="9">
        <f>SUM(B59:B63)</f>
        <v>1275</v>
      </c>
      <c r="C58" s="163"/>
      <c r="D58" s="164"/>
      <c r="E58" s="8"/>
    </row>
    <row r="59" spans="1:5" ht="13.5">
      <c r="A59" s="10" t="s">
        <v>18</v>
      </c>
      <c r="B59" s="11">
        <f>ROUNDUP(C59*D59/1000,0)</f>
        <v>800</v>
      </c>
      <c r="C59" s="12">
        <v>100000</v>
      </c>
      <c r="D59" s="13">
        <v>8</v>
      </c>
      <c r="E59" s="10" t="s">
        <v>88</v>
      </c>
    </row>
    <row r="60" spans="1:5" ht="13.5">
      <c r="A60" s="14" t="s">
        <v>35</v>
      </c>
      <c r="B60" s="15">
        <f>ROUNDUP(C60*D60/1000,0)</f>
        <v>235</v>
      </c>
      <c r="C60" s="100">
        <f>29260</f>
        <v>29260</v>
      </c>
      <c r="D60" s="17">
        <v>8</v>
      </c>
      <c r="E60" s="102" t="s">
        <v>83</v>
      </c>
    </row>
    <row r="61" spans="1:5" ht="13.5">
      <c r="A61" s="14" t="s">
        <v>20</v>
      </c>
      <c r="B61" s="15">
        <f>ROUNDUP(C61*D61/1000,0)</f>
        <v>120</v>
      </c>
      <c r="C61" s="34">
        <v>15000</v>
      </c>
      <c r="D61" s="35">
        <v>8</v>
      </c>
      <c r="E61" s="32" t="s">
        <v>221</v>
      </c>
    </row>
    <row r="62" spans="1:5" ht="15" customHeight="1">
      <c r="A62" s="14" t="s">
        <v>84</v>
      </c>
      <c r="B62" s="15">
        <f>ROUNDUP(C62*D62/1000,0)</f>
        <v>40</v>
      </c>
      <c r="C62" s="100">
        <v>5000</v>
      </c>
      <c r="D62" s="17">
        <v>8</v>
      </c>
      <c r="E62" s="14" t="s">
        <v>222</v>
      </c>
    </row>
    <row r="63" spans="1:5" ht="13.5">
      <c r="A63" s="18" t="s">
        <v>21</v>
      </c>
      <c r="B63" s="19">
        <f>ROUNDUP(C63*D63/1000,0)</f>
        <v>80</v>
      </c>
      <c r="C63" s="20">
        <v>80000</v>
      </c>
      <c r="D63" s="21">
        <v>1</v>
      </c>
      <c r="E63" s="18" t="s">
        <v>48</v>
      </c>
    </row>
    <row r="64" spans="1:5" ht="13.5">
      <c r="A64" s="8" t="s">
        <v>223</v>
      </c>
      <c r="B64" s="9">
        <f>SUM(B65:B72)</f>
        <v>1973</v>
      </c>
      <c r="C64" s="163"/>
      <c r="D64" s="164"/>
      <c r="E64" s="8"/>
    </row>
    <row r="65" spans="1:5" ht="13.5">
      <c r="A65" s="10" t="s">
        <v>18</v>
      </c>
      <c r="B65" s="11">
        <f aca="true" t="shared" si="1" ref="B65:B72">ROUNDUP(C65*D65/1000,0)</f>
        <v>1200</v>
      </c>
      <c r="C65" s="12">
        <v>100000</v>
      </c>
      <c r="D65" s="13">
        <v>12</v>
      </c>
      <c r="E65" s="10" t="s">
        <v>251</v>
      </c>
    </row>
    <row r="66" spans="1:5" ht="13.5">
      <c r="A66" s="14" t="s">
        <v>35</v>
      </c>
      <c r="B66" s="15">
        <f t="shared" si="1"/>
        <v>352</v>
      </c>
      <c r="C66" s="100">
        <f>29260</f>
        <v>29260</v>
      </c>
      <c r="D66" s="17">
        <v>12</v>
      </c>
      <c r="E66" s="102" t="s">
        <v>83</v>
      </c>
    </row>
    <row r="67" spans="1:5" ht="13.5">
      <c r="A67" s="14" t="s">
        <v>86</v>
      </c>
      <c r="B67" s="15">
        <f t="shared" si="1"/>
        <v>30</v>
      </c>
      <c r="C67" s="100">
        <v>10000</v>
      </c>
      <c r="D67" s="35">
        <v>3</v>
      </c>
      <c r="E67" s="32" t="s">
        <v>252</v>
      </c>
    </row>
    <row r="68" spans="1:5" ht="13.5">
      <c r="A68" s="14" t="s">
        <v>20</v>
      </c>
      <c r="B68" s="15">
        <f t="shared" si="1"/>
        <v>135</v>
      </c>
      <c r="C68" s="34">
        <v>15000</v>
      </c>
      <c r="D68" s="35">
        <v>9</v>
      </c>
      <c r="E68" s="32" t="s">
        <v>306</v>
      </c>
    </row>
    <row r="69" spans="1:5" ht="15" customHeight="1">
      <c r="A69" s="14" t="s">
        <v>84</v>
      </c>
      <c r="B69" s="15">
        <f t="shared" si="1"/>
        <v>45</v>
      </c>
      <c r="C69" s="100">
        <v>5000</v>
      </c>
      <c r="D69" s="17">
        <v>9</v>
      </c>
      <c r="E69" s="14" t="s">
        <v>307</v>
      </c>
    </row>
    <row r="70" spans="1:5" ht="13.5">
      <c r="A70" s="14" t="s">
        <v>28</v>
      </c>
      <c r="B70" s="15">
        <f t="shared" si="1"/>
        <v>86</v>
      </c>
      <c r="C70" s="100">
        <v>28500</v>
      </c>
      <c r="D70" s="17">
        <v>3</v>
      </c>
      <c r="E70" s="14" t="s">
        <v>253</v>
      </c>
    </row>
    <row r="71" spans="1:5" ht="13.5">
      <c r="A71" s="28" t="s">
        <v>34</v>
      </c>
      <c r="B71" s="29">
        <f t="shared" si="1"/>
        <v>45</v>
      </c>
      <c r="C71" s="42">
        <v>1000</v>
      </c>
      <c r="D71" s="31">
        <v>45</v>
      </c>
      <c r="E71" s="28" t="s">
        <v>254</v>
      </c>
    </row>
    <row r="72" spans="1:5" ht="13.5">
      <c r="A72" s="18" t="s">
        <v>21</v>
      </c>
      <c r="B72" s="19">
        <f t="shared" si="1"/>
        <v>80</v>
      </c>
      <c r="C72" s="20">
        <v>80000</v>
      </c>
      <c r="D72" s="21">
        <v>1</v>
      </c>
      <c r="E72" s="18" t="s">
        <v>48</v>
      </c>
    </row>
    <row r="73" spans="1:5" ht="13.5">
      <c r="A73" s="8" t="s">
        <v>244</v>
      </c>
      <c r="B73" s="9">
        <f>B74</f>
        <v>1724</v>
      </c>
      <c r="C73" s="163"/>
      <c r="D73" s="164"/>
      <c r="E73" s="8"/>
    </row>
    <row r="74" spans="1:5" ht="13.5">
      <c r="A74" s="10" t="s">
        <v>157</v>
      </c>
      <c r="B74" s="11">
        <f>SUM(B75:B82)</f>
        <v>1724</v>
      </c>
      <c r="C74" s="12"/>
      <c r="D74" s="13"/>
      <c r="E74" s="10"/>
    </row>
    <row r="75" spans="1:5" ht="13.5">
      <c r="A75" s="32" t="s">
        <v>18</v>
      </c>
      <c r="B75" s="15">
        <f>ROUNDUP(C75*D75/1000,0)</f>
        <v>1000</v>
      </c>
      <c r="C75" s="34">
        <v>100000</v>
      </c>
      <c r="D75" s="35">
        <v>10</v>
      </c>
      <c r="E75" s="32" t="s">
        <v>255</v>
      </c>
    </row>
    <row r="76" spans="1:5" ht="13.5">
      <c r="A76" s="14" t="s">
        <v>19</v>
      </c>
      <c r="B76" s="15">
        <f>ROUNDUP(C76*D76/1000,0)</f>
        <v>293</v>
      </c>
      <c r="C76" s="100">
        <f>29260</f>
        <v>29260</v>
      </c>
      <c r="D76" s="17">
        <v>10</v>
      </c>
      <c r="E76" s="14"/>
    </row>
    <row r="77" spans="1:5" ht="13.5">
      <c r="A77" s="14" t="s">
        <v>20</v>
      </c>
      <c r="B77" s="29">
        <f>ROUNDUP(C77*D77/1000,0)</f>
        <v>130</v>
      </c>
      <c r="C77" s="34">
        <v>13000</v>
      </c>
      <c r="D77" s="35">
        <v>10</v>
      </c>
      <c r="E77" s="32" t="s">
        <v>308</v>
      </c>
    </row>
    <row r="78" spans="1:5" ht="13.5">
      <c r="A78" s="14" t="s">
        <v>309</v>
      </c>
      <c r="B78" s="15">
        <f>ROUNDUP(C78*D78/1000,0)</f>
        <v>136</v>
      </c>
      <c r="C78" s="100">
        <v>6800</v>
      </c>
      <c r="D78" s="17">
        <v>20</v>
      </c>
      <c r="E78" s="14" t="s">
        <v>310</v>
      </c>
    </row>
    <row r="79" spans="1:5" ht="15" customHeight="1">
      <c r="A79" s="14" t="s">
        <v>89</v>
      </c>
      <c r="B79" s="33">
        <f aca="true" t="shared" si="2" ref="B79:B87">ROUNDUP(C79*D79/1000,0)</f>
        <v>60</v>
      </c>
      <c r="C79" s="100">
        <v>3000</v>
      </c>
      <c r="D79" s="17">
        <v>20</v>
      </c>
      <c r="E79" s="14" t="s">
        <v>312</v>
      </c>
    </row>
    <row r="80" spans="1:5" ht="13.5">
      <c r="A80" s="28" t="s">
        <v>90</v>
      </c>
      <c r="B80" s="15">
        <f t="shared" si="2"/>
        <v>5</v>
      </c>
      <c r="C80" s="42">
        <v>5000</v>
      </c>
      <c r="D80" s="31">
        <v>1</v>
      </c>
      <c r="E80" s="28" t="s">
        <v>91</v>
      </c>
    </row>
    <row r="81" spans="1:5" ht="13.5">
      <c r="A81" s="28" t="s">
        <v>34</v>
      </c>
      <c r="B81" s="29">
        <f t="shared" si="2"/>
        <v>20</v>
      </c>
      <c r="C81" s="42">
        <v>1000</v>
      </c>
      <c r="D81" s="31">
        <v>20</v>
      </c>
      <c r="E81" s="28" t="s">
        <v>314</v>
      </c>
    </row>
    <row r="82" spans="1:5" ht="13.5">
      <c r="A82" s="18" t="s">
        <v>21</v>
      </c>
      <c r="B82" s="19">
        <f t="shared" si="2"/>
        <v>80</v>
      </c>
      <c r="C82" s="20">
        <v>80000</v>
      </c>
      <c r="D82" s="21">
        <v>1</v>
      </c>
      <c r="E82" s="18" t="s">
        <v>48</v>
      </c>
    </row>
    <row r="83" spans="1:5" ht="13.5">
      <c r="A83" s="8" t="s">
        <v>230</v>
      </c>
      <c r="B83" s="9">
        <f>SUM(B84:B87)</f>
        <v>540</v>
      </c>
      <c r="C83" s="163"/>
      <c r="D83" s="164"/>
      <c r="E83" s="8"/>
    </row>
    <row r="84" spans="1:5" ht="15" customHeight="1">
      <c r="A84" s="14" t="s">
        <v>20</v>
      </c>
      <c r="B84" s="15">
        <f>ROUNDUP(C84*D84/1000,0)</f>
        <v>160</v>
      </c>
      <c r="C84" s="100">
        <v>40000</v>
      </c>
      <c r="D84" s="17">
        <v>4</v>
      </c>
      <c r="E84" s="14" t="s">
        <v>256</v>
      </c>
    </row>
    <row r="85" spans="1:5" ht="15" customHeight="1">
      <c r="A85" s="14" t="s">
        <v>94</v>
      </c>
      <c r="B85" s="15">
        <f>ROUNDUP(C85*D85/1000,0)</f>
        <v>60</v>
      </c>
      <c r="C85" s="100">
        <v>15000</v>
      </c>
      <c r="D85" s="17">
        <v>4</v>
      </c>
      <c r="E85" s="14"/>
    </row>
    <row r="86" spans="1:5" ht="13.5">
      <c r="A86" s="32" t="s">
        <v>93</v>
      </c>
      <c r="B86" s="33">
        <f>ROUNDUP(C86*D86/1000,0)</f>
        <v>140</v>
      </c>
      <c r="C86" s="34">
        <v>350</v>
      </c>
      <c r="D86" s="35">
        <v>400</v>
      </c>
      <c r="E86" s="32" t="s">
        <v>315</v>
      </c>
    </row>
    <row r="87" spans="1:5" ht="13.5">
      <c r="A87" s="18" t="s">
        <v>27</v>
      </c>
      <c r="B87" s="19">
        <f t="shared" si="2"/>
        <v>180</v>
      </c>
      <c r="C87" s="20">
        <v>180000</v>
      </c>
      <c r="D87" s="21">
        <v>1</v>
      </c>
      <c r="E87" s="18" t="s">
        <v>96</v>
      </c>
    </row>
    <row r="88" spans="1:5" ht="13.5">
      <c r="A88" s="22" t="s">
        <v>22</v>
      </c>
      <c r="B88" s="23">
        <f>B89+B96+B103</f>
        <v>8242</v>
      </c>
      <c r="C88" s="167"/>
      <c r="D88" s="168"/>
      <c r="E88" s="22"/>
    </row>
    <row r="89" spans="1:5" ht="13.5">
      <c r="A89" s="8" t="s">
        <v>97</v>
      </c>
      <c r="B89" s="9">
        <f>SUM(B90:B95)</f>
        <v>1778</v>
      </c>
      <c r="C89" s="163"/>
      <c r="D89" s="164"/>
      <c r="E89" s="8"/>
    </row>
    <row r="90" spans="1:5" ht="13.5">
      <c r="A90" s="32" t="s">
        <v>18</v>
      </c>
      <c r="B90" s="33">
        <f aca="true" t="shared" si="3" ref="B90:B95">ROUNDUP(C90*D90/1000,0)</f>
        <v>1000</v>
      </c>
      <c r="C90" s="34">
        <v>100000</v>
      </c>
      <c r="D90" s="35">
        <v>10</v>
      </c>
      <c r="E90" s="32" t="s">
        <v>232</v>
      </c>
    </row>
    <row r="91" spans="1:5" ht="13.5">
      <c r="A91" s="14" t="s">
        <v>35</v>
      </c>
      <c r="B91" s="15">
        <f t="shared" si="3"/>
        <v>176</v>
      </c>
      <c r="C91" s="100">
        <f>29260</f>
        <v>29260</v>
      </c>
      <c r="D91" s="17">
        <v>6</v>
      </c>
      <c r="E91" s="14" t="s">
        <v>164</v>
      </c>
    </row>
    <row r="92" spans="1:5" ht="15" customHeight="1">
      <c r="A92" s="14" t="s">
        <v>20</v>
      </c>
      <c r="B92" s="15">
        <f t="shared" si="3"/>
        <v>130</v>
      </c>
      <c r="C92" s="34">
        <v>13000</v>
      </c>
      <c r="D92" s="35">
        <v>10</v>
      </c>
      <c r="E92" s="32" t="s">
        <v>233</v>
      </c>
    </row>
    <row r="93" spans="1:5" ht="13.5">
      <c r="A93" s="14" t="s">
        <v>98</v>
      </c>
      <c r="B93" s="15">
        <f t="shared" si="3"/>
        <v>272</v>
      </c>
      <c r="C93" s="100">
        <v>6800</v>
      </c>
      <c r="D93" s="17">
        <v>40</v>
      </c>
      <c r="E93" s="14" t="s">
        <v>181</v>
      </c>
    </row>
    <row r="94" spans="1:5" ht="13.5">
      <c r="A94" s="28" t="s">
        <v>90</v>
      </c>
      <c r="B94" s="15">
        <f t="shared" si="3"/>
        <v>20</v>
      </c>
      <c r="C94" s="42">
        <v>5000</v>
      </c>
      <c r="D94" s="31">
        <v>4</v>
      </c>
      <c r="E94" s="28" t="s">
        <v>100</v>
      </c>
    </row>
    <row r="95" spans="1:5" ht="13.5">
      <c r="A95" s="18" t="s">
        <v>27</v>
      </c>
      <c r="B95" s="19">
        <f t="shared" si="3"/>
        <v>180</v>
      </c>
      <c r="C95" s="20">
        <v>180000</v>
      </c>
      <c r="D95" s="21">
        <v>1</v>
      </c>
      <c r="E95" s="18" t="s">
        <v>96</v>
      </c>
    </row>
    <row r="96" spans="1:5" ht="13.5">
      <c r="A96" s="8" t="s">
        <v>99</v>
      </c>
      <c r="B96" s="9">
        <f>SUM(B97:B102)</f>
        <v>3304</v>
      </c>
      <c r="C96" s="163"/>
      <c r="D96" s="164"/>
      <c r="E96" s="8"/>
    </row>
    <row r="97" spans="1:5" ht="13.5">
      <c r="A97" s="32" t="s">
        <v>18</v>
      </c>
      <c r="B97" s="33">
        <f aca="true" t="shared" si="4" ref="B97:B102">ROUNDUP(C97*D97/1000,0)</f>
        <v>2100</v>
      </c>
      <c r="C97" s="34">
        <v>100000</v>
      </c>
      <c r="D97" s="35">
        <v>21</v>
      </c>
      <c r="E97" s="32" t="s">
        <v>391</v>
      </c>
    </row>
    <row r="98" spans="1:5" ht="13.5">
      <c r="A98" s="14" t="s">
        <v>35</v>
      </c>
      <c r="B98" s="15">
        <f t="shared" si="4"/>
        <v>352</v>
      </c>
      <c r="C98" s="100">
        <f>29260</f>
        <v>29260</v>
      </c>
      <c r="D98" s="17">
        <v>12</v>
      </c>
      <c r="E98" s="14" t="s">
        <v>167</v>
      </c>
    </row>
    <row r="99" spans="1:5" ht="15" customHeight="1">
      <c r="A99" s="14" t="s">
        <v>20</v>
      </c>
      <c r="B99" s="15">
        <f t="shared" si="4"/>
        <v>234</v>
      </c>
      <c r="C99" s="34">
        <v>13000</v>
      </c>
      <c r="D99" s="35">
        <v>18</v>
      </c>
      <c r="E99" s="32" t="s">
        <v>182</v>
      </c>
    </row>
    <row r="100" spans="1:5" ht="13.5">
      <c r="A100" s="14" t="s">
        <v>98</v>
      </c>
      <c r="B100" s="15">
        <f t="shared" si="4"/>
        <v>408</v>
      </c>
      <c r="C100" s="100">
        <v>6800</v>
      </c>
      <c r="D100" s="17">
        <v>60</v>
      </c>
      <c r="E100" s="14" t="s">
        <v>183</v>
      </c>
    </row>
    <row r="101" spans="1:5" ht="13.5">
      <c r="A101" s="28" t="s">
        <v>90</v>
      </c>
      <c r="B101" s="15">
        <f t="shared" si="4"/>
        <v>30</v>
      </c>
      <c r="C101" s="42">
        <v>5000</v>
      </c>
      <c r="D101" s="31">
        <v>6</v>
      </c>
      <c r="E101" s="28" t="s">
        <v>173</v>
      </c>
    </row>
    <row r="102" spans="1:5" ht="13.5">
      <c r="A102" s="18" t="s">
        <v>27</v>
      </c>
      <c r="B102" s="19">
        <f t="shared" si="4"/>
        <v>180</v>
      </c>
      <c r="C102" s="20">
        <v>180000</v>
      </c>
      <c r="D102" s="21">
        <v>1</v>
      </c>
      <c r="E102" s="18" t="s">
        <v>96</v>
      </c>
    </row>
    <row r="103" spans="1:5" ht="13.5">
      <c r="A103" s="8" t="s">
        <v>101</v>
      </c>
      <c r="B103" s="9">
        <f>SUM(B104:B112)</f>
        <v>3160</v>
      </c>
      <c r="C103" s="163"/>
      <c r="D103" s="164"/>
      <c r="E103" s="8"/>
    </row>
    <row r="104" spans="1:5" ht="13.5">
      <c r="A104" s="32" t="s">
        <v>18</v>
      </c>
      <c r="B104" s="33">
        <f aca="true" t="shared" si="5" ref="B104:B109">ROUNDUP(C104*D104/1000,0)</f>
        <v>1200</v>
      </c>
      <c r="C104" s="34">
        <v>50000</v>
      </c>
      <c r="D104" s="35">
        <v>24</v>
      </c>
      <c r="E104" s="32" t="s">
        <v>241</v>
      </c>
    </row>
    <row r="105" spans="1:5" ht="13.5">
      <c r="A105" s="14" t="s">
        <v>35</v>
      </c>
      <c r="B105" s="15">
        <f t="shared" si="5"/>
        <v>703</v>
      </c>
      <c r="C105" s="100">
        <f>29260</f>
        <v>29260</v>
      </c>
      <c r="D105" s="17">
        <v>24</v>
      </c>
      <c r="E105" s="14" t="s">
        <v>166</v>
      </c>
    </row>
    <row r="106" spans="1:5" ht="13.5">
      <c r="A106" s="14" t="s">
        <v>20</v>
      </c>
      <c r="B106" s="15">
        <f t="shared" si="5"/>
        <v>312</v>
      </c>
      <c r="C106" s="34">
        <v>13000</v>
      </c>
      <c r="D106" s="35">
        <v>24</v>
      </c>
      <c r="E106" s="32" t="s">
        <v>317</v>
      </c>
    </row>
    <row r="107" spans="1:5" ht="13.5">
      <c r="A107" s="14" t="s">
        <v>104</v>
      </c>
      <c r="B107" s="15">
        <f t="shared" si="5"/>
        <v>408</v>
      </c>
      <c r="C107" s="100">
        <v>6800</v>
      </c>
      <c r="D107" s="17">
        <v>60</v>
      </c>
      <c r="E107" s="14" t="s">
        <v>183</v>
      </c>
    </row>
    <row r="108" spans="1:5" ht="13.5">
      <c r="A108" s="28" t="s">
        <v>105</v>
      </c>
      <c r="B108" s="15">
        <f t="shared" si="5"/>
        <v>30</v>
      </c>
      <c r="C108" s="42">
        <v>5000</v>
      </c>
      <c r="D108" s="31">
        <v>6</v>
      </c>
      <c r="E108" s="28" t="s">
        <v>173</v>
      </c>
    </row>
    <row r="109" spans="1:5" ht="13.5">
      <c r="A109" s="14" t="s">
        <v>106</v>
      </c>
      <c r="B109" s="15">
        <f t="shared" si="5"/>
        <v>189</v>
      </c>
      <c r="C109" s="100">
        <v>3150</v>
      </c>
      <c r="D109" s="17">
        <v>60</v>
      </c>
      <c r="E109" s="14" t="s">
        <v>319</v>
      </c>
    </row>
    <row r="110" spans="1:5" ht="13.5">
      <c r="A110" s="14" t="s">
        <v>102</v>
      </c>
      <c r="B110" s="15">
        <f>ROUNDUP(C110*D110/1000,0)</f>
        <v>78</v>
      </c>
      <c r="C110" s="100">
        <v>26000</v>
      </c>
      <c r="D110" s="17">
        <v>3</v>
      </c>
      <c r="E110" s="14" t="s">
        <v>174</v>
      </c>
    </row>
    <row r="111" spans="1:5" ht="13.5">
      <c r="A111" s="28" t="s">
        <v>103</v>
      </c>
      <c r="B111" s="29">
        <f>ROUNDUP(C111*D111/1000,0)</f>
        <v>60</v>
      </c>
      <c r="C111" s="42">
        <v>20000</v>
      </c>
      <c r="D111" s="31">
        <v>3</v>
      </c>
      <c r="E111" s="28" t="s">
        <v>175</v>
      </c>
    </row>
    <row r="112" spans="1:5" ht="13.5">
      <c r="A112" s="18" t="s">
        <v>245</v>
      </c>
      <c r="B112" s="19">
        <f>ROUNDUP(C112*D112/1000,0)</f>
        <v>180</v>
      </c>
      <c r="C112" s="20">
        <v>180000</v>
      </c>
      <c r="D112" s="21">
        <v>1</v>
      </c>
      <c r="E112" s="18" t="s">
        <v>29</v>
      </c>
    </row>
    <row r="113" spans="1:5" ht="13.5">
      <c r="A113" s="22" t="s">
        <v>23</v>
      </c>
      <c r="B113" s="23">
        <f>B114+B117</f>
        <v>1039</v>
      </c>
      <c r="C113" s="169">
        <f>B113/$B$88</f>
        <v>0.12606163552535793</v>
      </c>
      <c r="D113" s="170"/>
      <c r="E113" s="38" t="s">
        <v>32</v>
      </c>
    </row>
    <row r="114" spans="1:5" ht="13.5">
      <c r="A114" s="8" t="s">
        <v>107</v>
      </c>
      <c r="B114" s="9">
        <f>SUM(B115:B116)</f>
        <v>154</v>
      </c>
      <c r="C114" s="163"/>
      <c r="D114" s="164"/>
      <c r="E114" s="8"/>
    </row>
    <row r="115" spans="1:5" ht="15" customHeight="1">
      <c r="A115" s="14" t="s">
        <v>26</v>
      </c>
      <c r="B115" s="15">
        <f>ROUNDUP(C115*D115/1000,0)</f>
        <v>60</v>
      </c>
      <c r="C115" s="100">
        <v>5000</v>
      </c>
      <c r="D115" s="17">
        <v>12</v>
      </c>
      <c r="E115" s="14" t="s">
        <v>52</v>
      </c>
    </row>
    <row r="116" spans="1:5" ht="13.5">
      <c r="A116" s="28" t="s">
        <v>50</v>
      </c>
      <c r="B116" s="29">
        <f>ROUNDUP(C116*D116/1000,0)</f>
        <v>94</v>
      </c>
      <c r="C116" s="42">
        <v>7800</v>
      </c>
      <c r="D116" s="31">
        <v>12</v>
      </c>
      <c r="E116" s="28"/>
    </row>
    <row r="117" spans="1:5" ht="13.5">
      <c r="A117" s="8" t="s">
        <v>108</v>
      </c>
      <c r="B117" s="9">
        <f>SUM(B118:B121)</f>
        <v>885</v>
      </c>
      <c r="C117" s="163"/>
      <c r="D117" s="164"/>
      <c r="E117" s="8"/>
    </row>
    <row r="118" spans="1:5" ht="15" customHeight="1">
      <c r="A118" s="14" t="s">
        <v>20</v>
      </c>
      <c r="B118" s="15">
        <f>ROUNDUP(C118*D118/1000,0)</f>
        <v>640</v>
      </c>
      <c r="C118" s="100">
        <v>80000</v>
      </c>
      <c r="D118" s="17">
        <v>8</v>
      </c>
      <c r="E118" s="14" t="s">
        <v>180</v>
      </c>
    </row>
    <row r="119" spans="1:5" ht="15" customHeight="1">
      <c r="A119" s="14" t="s">
        <v>94</v>
      </c>
      <c r="B119" s="15">
        <f>ROUNDUP(C119*D119/1000,0)</f>
        <v>15</v>
      </c>
      <c r="C119" s="100">
        <v>15000</v>
      </c>
      <c r="D119" s="17">
        <v>1</v>
      </c>
      <c r="E119" s="14"/>
    </row>
    <row r="120" spans="1:5" ht="15" customHeight="1">
      <c r="A120" s="32" t="s">
        <v>155</v>
      </c>
      <c r="B120" s="33">
        <f>ROUNDUP(C120*D120/1000,0)</f>
        <v>50</v>
      </c>
      <c r="C120" s="34">
        <v>50</v>
      </c>
      <c r="D120" s="35">
        <v>1000</v>
      </c>
      <c r="E120" s="32" t="s">
        <v>156</v>
      </c>
    </row>
    <row r="121" spans="1:5" ht="13.5">
      <c r="A121" s="18" t="s">
        <v>27</v>
      </c>
      <c r="B121" s="19">
        <f>ROUNDUP(C121*D121/1000,0)</f>
        <v>180</v>
      </c>
      <c r="C121" s="20">
        <v>180000</v>
      </c>
      <c r="D121" s="21">
        <v>1</v>
      </c>
      <c r="E121" s="18" t="s">
        <v>96</v>
      </c>
    </row>
    <row r="122" spans="1:5" ht="13.5">
      <c r="A122" s="108" t="s">
        <v>153</v>
      </c>
      <c r="B122" s="109">
        <f>B123</f>
        <v>22885</v>
      </c>
      <c r="C122" s="177">
        <f>B124/B123</f>
        <v>0.541883329691938</v>
      </c>
      <c r="D122" s="178"/>
      <c r="E122" s="110" t="s">
        <v>149</v>
      </c>
    </row>
    <row r="123" spans="1:5" s="51" customFormat="1" ht="13.5">
      <c r="A123" s="22" t="s">
        <v>109</v>
      </c>
      <c r="B123" s="23">
        <f>B124+B145</f>
        <v>22885</v>
      </c>
      <c r="C123" s="169"/>
      <c r="D123" s="170"/>
      <c r="E123" s="38"/>
    </row>
    <row r="124" spans="1:5" ht="13.5">
      <c r="A124" s="8" t="s">
        <v>111</v>
      </c>
      <c r="B124" s="9">
        <f>SUM(B125:B144)</f>
        <v>12401</v>
      </c>
      <c r="C124" s="163"/>
      <c r="D124" s="164"/>
      <c r="E124" s="8"/>
    </row>
    <row r="125" spans="1:5" ht="13.5">
      <c r="A125" s="10" t="s">
        <v>118</v>
      </c>
      <c r="B125" s="43">
        <f>ROUNDUP(C125*D125/1000,0)</f>
        <v>3000</v>
      </c>
      <c r="C125" s="12">
        <v>250000</v>
      </c>
      <c r="D125" s="13">
        <v>12</v>
      </c>
      <c r="E125" s="32" t="s">
        <v>235</v>
      </c>
    </row>
    <row r="126" spans="1:5" ht="13.5">
      <c r="A126" s="32" t="s">
        <v>110</v>
      </c>
      <c r="B126" s="48">
        <f>ROUNDUP(C126*D126/1000,0)</f>
        <v>427</v>
      </c>
      <c r="C126" s="34">
        <f>C125/22/8*1.25</f>
        <v>1775.568181818182</v>
      </c>
      <c r="D126" s="35">
        <v>240</v>
      </c>
      <c r="E126" s="32" t="s">
        <v>242</v>
      </c>
    </row>
    <row r="127" spans="1:5" ht="13.5">
      <c r="A127" s="47" t="s">
        <v>112</v>
      </c>
      <c r="B127" s="48">
        <f>ROUNDUP(C127*D127/1000,0)</f>
        <v>10</v>
      </c>
      <c r="C127" s="49">
        <v>9200</v>
      </c>
      <c r="D127" s="50">
        <v>1</v>
      </c>
      <c r="E127" s="47" t="s">
        <v>38</v>
      </c>
    </row>
    <row r="128" spans="1:5" ht="13.5">
      <c r="A128" s="32" t="s">
        <v>113</v>
      </c>
      <c r="B128" s="41">
        <f aca="true" t="shared" si="6" ref="B128:B135">ROUNDUP(C128*D128/1000,0)</f>
        <v>150</v>
      </c>
      <c r="C128" s="34">
        <f>250000*12*0.05</f>
        <v>150000</v>
      </c>
      <c r="D128" s="35">
        <v>1</v>
      </c>
      <c r="E128" s="32" t="s">
        <v>209</v>
      </c>
    </row>
    <row r="129" spans="1:5" ht="13.5">
      <c r="A129" s="32" t="s">
        <v>114</v>
      </c>
      <c r="B129" s="41">
        <f t="shared" si="6"/>
        <v>24</v>
      </c>
      <c r="C129" s="34">
        <f>250000*12*0.0079</f>
        <v>23700.000000000004</v>
      </c>
      <c r="D129" s="35">
        <v>1</v>
      </c>
      <c r="E129" s="32" t="s">
        <v>288</v>
      </c>
    </row>
    <row r="130" spans="1:5" ht="13.5">
      <c r="A130" s="32" t="s">
        <v>289</v>
      </c>
      <c r="B130" s="41">
        <f t="shared" si="6"/>
        <v>6</v>
      </c>
      <c r="C130" s="34">
        <f>250000*12*0.002</f>
        <v>6000</v>
      </c>
      <c r="D130" s="35">
        <v>1</v>
      </c>
      <c r="E130" s="32" t="s">
        <v>376</v>
      </c>
    </row>
    <row r="131" spans="1:5" ht="13.5">
      <c r="A131" s="32" t="s">
        <v>296</v>
      </c>
      <c r="B131" s="41">
        <f t="shared" si="6"/>
        <v>275</v>
      </c>
      <c r="C131" s="34">
        <f>250000*12*91.5/1000</f>
        <v>274500</v>
      </c>
      <c r="D131" s="35">
        <v>1</v>
      </c>
      <c r="E131" s="32" t="s">
        <v>378</v>
      </c>
    </row>
    <row r="132" spans="1:5" ht="13.5">
      <c r="A132" s="32" t="s">
        <v>115</v>
      </c>
      <c r="B132" s="41">
        <f t="shared" si="6"/>
        <v>21</v>
      </c>
      <c r="C132" s="34">
        <f>250000*12*0.007</f>
        <v>21000</v>
      </c>
      <c r="D132" s="35">
        <v>1</v>
      </c>
      <c r="E132" s="32" t="s">
        <v>379</v>
      </c>
    </row>
    <row r="133" spans="1:5" s="51" customFormat="1" ht="13.5">
      <c r="A133" s="32" t="s">
        <v>116</v>
      </c>
      <c r="B133" s="41">
        <f t="shared" si="6"/>
        <v>9</v>
      </c>
      <c r="C133" s="34">
        <f>250000*12*0.003</f>
        <v>9000</v>
      </c>
      <c r="D133" s="35">
        <v>1</v>
      </c>
      <c r="E133" s="32" t="s">
        <v>213</v>
      </c>
    </row>
    <row r="134" spans="1:5" ht="13.5">
      <c r="A134" s="18" t="s">
        <v>117</v>
      </c>
      <c r="B134" s="113">
        <f t="shared" si="6"/>
        <v>1</v>
      </c>
      <c r="C134" s="20">
        <f>250000*12*0.00002</f>
        <v>60.00000000000001</v>
      </c>
      <c r="D134" s="21">
        <v>1</v>
      </c>
      <c r="E134" s="18" t="s">
        <v>380</v>
      </c>
    </row>
    <row r="135" spans="1:5" ht="13.5">
      <c r="A135" s="32" t="s">
        <v>119</v>
      </c>
      <c r="B135" s="41">
        <f t="shared" si="6"/>
        <v>6480</v>
      </c>
      <c r="C135" s="112">
        <v>180000</v>
      </c>
      <c r="D135" s="35">
        <v>36</v>
      </c>
      <c r="E135" s="32" t="s">
        <v>259</v>
      </c>
    </row>
    <row r="136" spans="1:5" ht="13.5">
      <c r="A136" s="32" t="s">
        <v>110</v>
      </c>
      <c r="B136" s="48">
        <f>ROUNDUP(C136*D136/1000,0)</f>
        <v>921</v>
      </c>
      <c r="C136" s="34">
        <f>C135/22/8*1.25</f>
        <v>1278.409090909091</v>
      </c>
      <c r="D136" s="35">
        <v>720</v>
      </c>
      <c r="E136" s="32" t="s">
        <v>260</v>
      </c>
    </row>
    <row r="137" spans="1:5" ht="13.5">
      <c r="A137" s="47" t="s">
        <v>112</v>
      </c>
      <c r="B137" s="55">
        <f aca="true" t="shared" si="7" ref="B137:B144">ROUNDUP(C137*D137/1000,0)</f>
        <v>28</v>
      </c>
      <c r="C137" s="56">
        <v>9200</v>
      </c>
      <c r="D137" s="57">
        <v>3</v>
      </c>
      <c r="E137" s="54" t="s">
        <v>38</v>
      </c>
    </row>
    <row r="138" spans="1:5" ht="13.5">
      <c r="A138" s="32" t="s">
        <v>113</v>
      </c>
      <c r="B138" s="41">
        <f t="shared" si="7"/>
        <v>324</v>
      </c>
      <c r="C138" s="34">
        <f>180000*12*0.05</f>
        <v>108000</v>
      </c>
      <c r="D138" s="35">
        <v>3</v>
      </c>
      <c r="E138" s="32" t="s">
        <v>210</v>
      </c>
    </row>
    <row r="139" spans="1:5" ht="13.5">
      <c r="A139" s="32" t="s">
        <v>114</v>
      </c>
      <c r="B139" s="41">
        <f t="shared" si="7"/>
        <v>52</v>
      </c>
      <c r="C139" s="34">
        <f>180000*12*0.0079</f>
        <v>17064</v>
      </c>
      <c r="D139" s="35">
        <v>3</v>
      </c>
      <c r="E139" s="32" t="s">
        <v>284</v>
      </c>
    </row>
    <row r="140" spans="1:5" ht="13.5">
      <c r="A140" s="32" t="s">
        <v>289</v>
      </c>
      <c r="B140" s="41">
        <f t="shared" si="7"/>
        <v>13</v>
      </c>
      <c r="C140" s="34">
        <f>180000*12*0.002</f>
        <v>4320</v>
      </c>
      <c r="D140" s="35">
        <v>3</v>
      </c>
      <c r="E140" s="32" t="s">
        <v>381</v>
      </c>
    </row>
    <row r="141" spans="1:5" ht="15" customHeight="1">
      <c r="A141" s="32" t="s">
        <v>297</v>
      </c>
      <c r="B141" s="41">
        <f t="shared" si="7"/>
        <v>593</v>
      </c>
      <c r="C141" s="34">
        <f>180000*12*91.5/1000</f>
        <v>197640</v>
      </c>
      <c r="D141" s="35">
        <v>3</v>
      </c>
      <c r="E141" s="32" t="s">
        <v>298</v>
      </c>
    </row>
    <row r="142" spans="1:5" ht="13.5">
      <c r="A142" s="32" t="s">
        <v>115</v>
      </c>
      <c r="B142" s="41">
        <f t="shared" si="7"/>
        <v>46</v>
      </c>
      <c r="C142" s="34">
        <f>180000*12*0.007</f>
        <v>15120</v>
      </c>
      <c r="D142" s="35">
        <v>3</v>
      </c>
      <c r="E142" s="32" t="s">
        <v>383</v>
      </c>
    </row>
    <row r="143" spans="1:5" ht="13.5">
      <c r="A143" s="32" t="s">
        <v>116</v>
      </c>
      <c r="B143" s="41">
        <f t="shared" si="7"/>
        <v>20</v>
      </c>
      <c r="C143" s="34">
        <f>180000*12*0.003</f>
        <v>6480</v>
      </c>
      <c r="D143" s="35">
        <v>3</v>
      </c>
      <c r="E143" s="32" t="s">
        <v>214</v>
      </c>
    </row>
    <row r="144" spans="1:5" ht="13.5">
      <c r="A144" s="32" t="s">
        <v>117</v>
      </c>
      <c r="B144" s="52">
        <f t="shared" si="7"/>
        <v>1</v>
      </c>
      <c r="C144" s="100">
        <f>180000*12*0.00002</f>
        <v>43.2</v>
      </c>
      <c r="D144" s="17">
        <v>3</v>
      </c>
      <c r="E144" s="14" t="s">
        <v>384</v>
      </c>
    </row>
    <row r="145" spans="1:5" ht="13.5">
      <c r="A145" s="8" t="s">
        <v>146</v>
      </c>
      <c r="B145" s="9">
        <f>B146+B159</f>
        <v>10484</v>
      </c>
      <c r="C145" s="163"/>
      <c r="D145" s="164"/>
      <c r="E145" s="8"/>
    </row>
    <row r="146" spans="1:5" ht="13.5">
      <c r="A146" s="14" t="s">
        <v>120</v>
      </c>
      <c r="B146" s="15">
        <f>SUM(B147:B158)</f>
        <v>2802</v>
      </c>
      <c r="C146" s="100"/>
      <c r="D146" s="17"/>
      <c r="E146" s="14"/>
    </row>
    <row r="147" spans="1:5" ht="13.5">
      <c r="A147" s="14" t="s">
        <v>121</v>
      </c>
      <c r="B147" s="15">
        <f aca="true" t="shared" si="8" ref="B147:B158">ROUNDUP(C147*D147/1000,0)</f>
        <v>780</v>
      </c>
      <c r="C147" s="100">
        <v>65000</v>
      </c>
      <c r="D147" s="17">
        <v>12</v>
      </c>
      <c r="E147" s="14" t="s">
        <v>192</v>
      </c>
    </row>
    <row r="148" spans="1:5" ht="13.5">
      <c r="A148" s="14" t="s">
        <v>126</v>
      </c>
      <c r="B148" s="15">
        <f t="shared" si="8"/>
        <v>288</v>
      </c>
      <c r="C148" s="100">
        <v>24000</v>
      </c>
      <c r="D148" s="17">
        <v>12</v>
      </c>
      <c r="E148" s="14" t="s">
        <v>127</v>
      </c>
    </row>
    <row r="149" spans="1:5" ht="13.5">
      <c r="A149" s="14" t="s">
        <v>122</v>
      </c>
      <c r="B149" s="15">
        <f t="shared" si="8"/>
        <v>360</v>
      </c>
      <c r="C149" s="100">
        <v>30000</v>
      </c>
      <c r="D149" s="17">
        <v>12</v>
      </c>
      <c r="E149" s="14" t="s">
        <v>123</v>
      </c>
    </row>
    <row r="150" spans="1:5" ht="13.5">
      <c r="A150" s="14" t="s">
        <v>30</v>
      </c>
      <c r="B150" s="15">
        <f t="shared" si="8"/>
        <v>216</v>
      </c>
      <c r="C150" s="100">
        <v>18000</v>
      </c>
      <c r="D150" s="17">
        <v>12</v>
      </c>
      <c r="E150" s="14" t="s">
        <v>237</v>
      </c>
    </row>
    <row r="151" spans="1:5" ht="13.5">
      <c r="A151" s="14" t="s">
        <v>74</v>
      </c>
      <c r="B151" s="15">
        <f t="shared" si="8"/>
        <v>312</v>
      </c>
      <c r="C151" s="100">
        <f>26000*1</f>
        <v>26000</v>
      </c>
      <c r="D151" s="17">
        <v>12</v>
      </c>
      <c r="E151" s="14" t="s">
        <v>75</v>
      </c>
    </row>
    <row r="152" spans="1:5" ht="13.5">
      <c r="A152" s="14" t="s">
        <v>76</v>
      </c>
      <c r="B152" s="15">
        <f t="shared" si="8"/>
        <v>123</v>
      </c>
      <c r="C152" s="100">
        <f>10200*1</f>
        <v>10200</v>
      </c>
      <c r="D152" s="17">
        <v>12</v>
      </c>
      <c r="E152" s="14" t="s">
        <v>77</v>
      </c>
    </row>
    <row r="153" spans="1:5" ht="13.5">
      <c r="A153" s="14" t="s">
        <v>124</v>
      </c>
      <c r="B153" s="15">
        <f t="shared" si="8"/>
        <v>27</v>
      </c>
      <c r="C153" s="100">
        <v>2200</v>
      </c>
      <c r="D153" s="17">
        <v>12</v>
      </c>
      <c r="E153" s="14" t="s">
        <v>125</v>
      </c>
    </row>
    <row r="154" spans="1:5" ht="13.5">
      <c r="A154" s="14" t="s">
        <v>12</v>
      </c>
      <c r="B154" s="15">
        <f t="shared" si="8"/>
        <v>144</v>
      </c>
      <c r="C154" s="100">
        <v>12000</v>
      </c>
      <c r="D154" s="17">
        <v>12</v>
      </c>
      <c r="E154" s="14"/>
    </row>
    <row r="155" spans="1:5" ht="13.5">
      <c r="A155" s="14" t="s">
        <v>13</v>
      </c>
      <c r="B155" s="15">
        <f t="shared" si="8"/>
        <v>120</v>
      </c>
      <c r="C155" s="100">
        <v>10000</v>
      </c>
      <c r="D155" s="17">
        <v>12</v>
      </c>
      <c r="E155" s="14"/>
    </row>
    <row r="156" spans="1:5" ht="13.5">
      <c r="A156" s="14" t="s">
        <v>78</v>
      </c>
      <c r="B156" s="15">
        <f t="shared" si="8"/>
        <v>144</v>
      </c>
      <c r="C156" s="100">
        <v>12000</v>
      </c>
      <c r="D156" s="17">
        <v>12</v>
      </c>
      <c r="E156" s="14" t="s">
        <v>36</v>
      </c>
    </row>
    <row r="157" spans="1:5" ht="13.5">
      <c r="A157" s="14" t="s">
        <v>79</v>
      </c>
      <c r="B157" s="15">
        <f t="shared" si="8"/>
        <v>168</v>
      </c>
      <c r="C157" s="100">
        <v>14000</v>
      </c>
      <c r="D157" s="17">
        <v>12</v>
      </c>
      <c r="E157" s="111" t="s">
        <v>323</v>
      </c>
    </row>
    <row r="158" spans="1:5" ht="13.5">
      <c r="A158" s="18" t="s">
        <v>13</v>
      </c>
      <c r="B158" s="19">
        <f t="shared" si="8"/>
        <v>120</v>
      </c>
      <c r="C158" s="20">
        <v>10000</v>
      </c>
      <c r="D158" s="21">
        <v>12</v>
      </c>
      <c r="E158" s="18"/>
    </row>
    <row r="159" spans="1:5" ht="13.5">
      <c r="A159" s="32" t="s">
        <v>128</v>
      </c>
      <c r="B159" s="33">
        <f>SUM(B160:B173)</f>
        <v>7682</v>
      </c>
      <c r="C159" s="34"/>
      <c r="D159" s="35"/>
      <c r="E159" s="32"/>
    </row>
    <row r="160" spans="1:5" ht="13.5">
      <c r="A160" s="32" t="s">
        <v>129</v>
      </c>
      <c r="B160" s="15">
        <f>ROUNDUP(C160*D160/1000,0)</f>
        <v>1800</v>
      </c>
      <c r="C160" s="100">
        <v>150000</v>
      </c>
      <c r="D160" s="17">
        <v>12</v>
      </c>
      <c r="E160" s="32" t="s">
        <v>168</v>
      </c>
    </row>
    <row r="161" spans="1:5" ht="13.5">
      <c r="A161" s="32" t="s">
        <v>130</v>
      </c>
      <c r="B161" s="15">
        <f aca="true" t="shared" si="9" ref="B161:B172">ROUNDUP(C161*D161/1000,0)</f>
        <v>312</v>
      </c>
      <c r="C161" s="100">
        <v>26000</v>
      </c>
      <c r="D161" s="17">
        <v>12</v>
      </c>
      <c r="E161" s="32" t="s">
        <v>195</v>
      </c>
    </row>
    <row r="162" spans="1:5" ht="13.5">
      <c r="A162" s="32" t="s">
        <v>133</v>
      </c>
      <c r="B162" s="15">
        <f t="shared" si="9"/>
        <v>1080</v>
      </c>
      <c r="C162" s="100">
        <v>90000</v>
      </c>
      <c r="D162" s="17">
        <v>12</v>
      </c>
      <c r="E162" s="32" t="s">
        <v>131</v>
      </c>
    </row>
    <row r="163" spans="1:5" ht="13.5">
      <c r="A163" s="32" t="s">
        <v>132</v>
      </c>
      <c r="B163" s="15">
        <f t="shared" si="9"/>
        <v>840</v>
      </c>
      <c r="C163" s="100">
        <v>70000</v>
      </c>
      <c r="D163" s="17">
        <v>12</v>
      </c>
      <c r="E163" s="32" t="s">
        <v>196</v>
      </c>
    </row>
    <row r="164" spans="1:5" ht="13.5">
      <c r="A164" s="32" t="s">
        <v>138</v>
      </c>
      <c r="B164" s="33">
        <f t="shared" si="9"/>
        <v>80</v>
      </c>
      <c r="C164" s="34">
        <v>20000</v>
      </c>
      <c r="D164" s="35">
        <v>4</v>
      </c>
      <c r="E164" s="32" t="s">
        <v>189</v>
      </c>
    </row>
    <row r="165" spans="1:5" ht="13.5">
      <c r="A165" s="32" t="s">
        <v>134</v>
      </c>
      <c r="B165" s="33">
        <f t="shared" si="9"/>
        <v>240</v>
      </c>
      <c r="C165" s="34">
        <v>60000</v>
      </c>
      <c r="D165" s="35">
        <v>4</v>
      </c>
      <c r="E165" s="32" t="s">
        <v>139</v>
      </c>
    </row>
    <row r="166" spans="1:5" ht="13.5">
      <c r="A166" s="32" t="s">
        <v>141</v>
      </c>
      <c r="B166" s="33">
        <f>ROUNDUP(C166*D166/1000,0)</f>
        <v>50</v>
      </c>
      <c r="C166" s="34">
        <v>50000</v>
      </c>
      <c r="D166" s="35">
        <v>1</v>
      </c>
      <c r="E166" s="32"/>
    </row>
    <row r="167" spans="1:5" ht="13.5">
      <c r="A167" s="32" t="s">
        <v>140</v>
      </c>
      <c r="B167" s="33">
        <f t="shared" si="9"/>
        <v>100</v>
      </c>
      <c r="C167" s="34">
        <v>100000</v>
      </c>
      <c r="D167" s="35">
        <v>1</v>
      </c>
      <c r="E167" s="32" t="s">
        <v>142</v>
      </c>
    </row>
    <row r="168" spans="1:5" ht="13.5">
      <c r="A168" s="32" t="s">
        <v>135</v>
      </c>
      <c r="B168" s="33">
        <f t="shared" si="9"/>
        <v>100</v>
      </c>
      <c r="C168" s="34">
        <v>100000</v>
      </c>
      <c r="D168" s="35">
        <v>1</v>
      </c>
      <c r="E168" s="32" t="s">
        <v>143</v>
      </c>
    </row>
    <row r="169" spans="1:5" ht="13.5">
      <c r="A169" s="32" t="s">
        <v>137</v>
      </c>
      <c r="B169" s="33">
        <f t="shared" si="9"/>
        <v>20</v>
      </c>
      <c r="C169" s="34">
        <v>20000</v>
      </c>
      <c r="D169" s="35">
        <v>1</v>
      </c>
      <c r="E169" s="32" t="s">
        <v>144</v>
      </c>
    </row>
    <row r="170" spans="1:5" ht="13.5">
      <c r="A170" s="32" t="s">
        <v>145</v>
      </c>
      <c r="B170" s="33">
        <f t="shared" si="9"/>
        <v>2400</v>
      </c>
      <c r="C170" s="34">
        <v>200000</v>
      </c>
      <c r="D170" s="35">
        <v>12</v>
      </c>
      <c r="E170" s="32" t="s">
        <v>197</v>
      </c>
    </row>
    <row r="171" spans="1:5" ht="13.5">
      <c r="A171" s="32" t="s">
        <v>249</v>
      </c>
      <c r="B171" s="138">
        <f t="shared" si="9"/>
        <v>90</v>
      </c>
      <c r="C171" s="34">
        <v>30000</v>
      </c>
      <c r="D171" s="35">
        <v>3</v>
      </c>
      <c r="E171" s="14" t="s">
        <v>250</v>
      </c>
    </row>
    <row r="172" spans="1:5" ht="13.5">
      <c r="A172" s="14" t="s">
        <v>147</v>
      </c>
      <c r="B172" s="15">
        <f t="shared" si="9"/>
        <v>480</v>
      </c>
      <c r="C172" s="100">
        <v>120000</v>
      </c>
      <c r="D172" s="17">
        <v>4</v>
      </c>
      <c r="E172" s="14" t="s">
        <v>198</v>
      </c>
    </row>
    <row r="173" spans="1:5" ht="14.25" thickBot="1">
      <c r="A173" s="18" t="s">
        <v>136</v>
      </c>
      <c r="B173" s="19">
        <f>ROUNDUP(C173*D173/1000,0)</f>
        <v>90</v>
      </c>
      <c r="C173" s="20">
        <v>30000</v>
      </c>
      <c r="D173" s="21">
        <v>3</v>
      </c>
      <c r="E173" s="18" t="s">
        <v>191</v>
      </c>
    </row>
    <row r="174" spans="1:5" ht="13.5">
      <c r="A174" s="26" t="s">
        <v>154</v>
      </c>
      <c r="B174" s="27">
        <f>B4+B122</f>
        <v>50070</v>
      </c>
      <c r="C174" s="171"/>
      <c r="D174" s="172"/>
      <c r="E174" s="26"/>
    </row>
    <row r="175" spans="1:5" ht="13.5">
      <c r="A175" s="7" t="s">
        <v>31</v>
      </c>
      <c r="B175" s="44">
        <f>ROUNDDOWN(B174*0.08,0)</f>
        <v>4005</v>
      </c>
      <c r="C175" s="173"/>
      <c r="D175" s="174"/>
      <c r="E175" s="6"/>
    </row>
    <row r="176" spans="1:5" ht="18" thickBot="1">
      <c r="A176" s="24" t="s">
        <v>33</v>
      </c>
      <c r="B176" s="25">
        <f>B174+B175</f>
        <v>54075</v>
      </c>
      <c r="C176" s="175"/>
      <c r="D176" s="176"/>
      <c r="E176" s="39"/>
    </row>
  </sheetData>
  <sheetProtection/>
  <mergeCells count="26">
    <mergeCell ref="C145:D145"/>
    <mergeCell ref="C103:D103"/>
    <mergeCell ref="C174:D174"/>
    <mergeCell ref="C175:D175"/>
    <mergeCell ref="C176:D176"/>
    <mergeCell ref="C114:D114"/>
    <mergeCell ref="C117:D117"/>
    <mergeCell ref="C122:D122"/>
    <mergeCell ref="C123:D123"/>
    <mergeCell ref="C124:D124"/>
    <mergeCell ref="C113:D113"/>
    <mergeCell ref="C56:D56"/>
    <mergeCell ref="C57:D57"/>
    <mergeCell ref="C64:D64"/>
    <mergeCell ref="C73:D73"/>
    <mergeCell ref="C83:D83"/>
    <mergeCell ref="C88:D88"/>
    <mergeCell ref="C89:D89"/>
    <mergeCell ref="C96:D96"/>
    <mergeCell ref="C58:D58"/>
    <mergeCell ref="A1:E1"/>
    <mergeCell ref="C3:D3"/>
    <mergeCell ref="C4:D4"/>
    <mergeCell ref="C5:D5"/>
    <mergeCell ref="C6:D6"/>
    <mergeCell ref="C36:D3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2" r:id="rId1"/>
  <headerFooter>
    <oddHeader>&amp;R&amp;10&amp;A　&amp;P／&amp;N</oddHeader>
    <oddFooter>&amp;C&amp;10&amp;A　&amp;P／&amp;N</oddFooter>
  </headerFooter>
  <rowBreaks count="2" manualBreakCount="2">
    <brk id="72" max="4" man="1"/>
    <brk id="121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3" sqref="I3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5" customWidth="1"/>
    <col min="6" max="7" width="14.140625" style="0" customWidth="1"/>
    <col min="8" max="8" width="16.00390625" style="0" customWidth="1"/>
  </cols>
  <sheetData>
    <row r="1" spans="2:7" ht="22.5" customHeight="1">
      <c r="B1" s="154" t="s">
        <v>62</v>
      </c>
      <c r="C1" s="154"/>
      <c r="D1" s="154"/>
      <c r="E1" s="154"/>
      <c r="F1" s="154"/>
      <c r="G1" s="154"/>
    </row>
    <row r="2" spans="5:7" ht="25.5" customHeight="1" thickBot="1">
      <c r="E2" s="187" t="s">
        <v>333</v>
      </c>
      <c r="F2" s="187"/>
      <c r="G2" s="187"/>
    </row>
    <row r="3" spans="3:8" ht="38.25" customHeight="1" thickBot="1" thickTop="1">
      <c r="C3" s="133" t="s">
        <v>332</v>
      </c>
      <c r="D3" s="132">
        <f>(D5+D8-D12)/D14</f>
        <v>0.5765987101651272</v>
      </c>
      <c r="E3" s="132">
        <f>(E5+E8-E12)/E14</f>
        <v>0.5350156222014368</v>
      </c>
      <c r="F3" s="132">
        <f>(F5+F8-F12)/F14</f>
        <v>0.542939884162173</v>
      </c>
      <c r="G3" s="132">
        <f>(G5+G8-G12)/G14</f>
        <v>0.550136698212408</v>
      </c>
      <c r="H3" t="s">
        <v>179</v>
      </c>
    </row>
    <row r="4" spans="2:8" ht="29.25" customHeight="1" thickTop="1">
      <c r="B4" s="188"/>
      <c r="C4" s="189"/>
      <c r="D4" s="134" t="s">
        <v>325</v>
      </c>
      <c r="E4" s="144" t="s">
        <v>326</v>
      </c>
      <c r="F4" s="58" t="s">
        <v>327</v>
      </c>
      <c r="G4" s="59" t="s">
        <v>53</v>
      </c>
      <c r="H4" s="60" t="s">
        <v>54</v>
      </c>
    </row>
    <row r="5" spans="1:9" ht="29.25" customHeight="1">
      <c r="A5" s="182" t="s">
        <v>162</v>
      </c>
      <c r="B5" s="89" t="s">
        <v>5</v>
      </c>
      <c r="C5" s="61"/>
      <c r="D5" s="114">
        <f>SUM(D6:D7)</f>
        <v>11629</v>
      </c>
      <c r="E5" s="62">
        <f>E6+E7</f>
        <v>12391</v>
      </c>
      <c r="F5" s="63">
        <f>F6+F7</f>
        <v>12392</v>
      </c>
      <c r="G5" s="64">
        <f aca="true" t="shared" si="0" ref="G5:G12">SUM(D5:F5)</f>
        <v>36412</v>
      </c>
      <c r="H5" s="65">
        <f>G5/G14</f>
        <v>0.2552541184717841</v>
      </c>
      <c r="I5" s="66" t="s">
        <v>328</v>
      </c>
    </row>
    <row r="6" spans="1:12" ht="29.25" customHeight="1">
      <c r="A6" s="183"/>
      <c r="B6" s="190" t="s">
        <v>55</v>
      </c>
      <c r="C6" s="191"/>
      <c r="D6" s="115">
        <f>'必要経費概算（平成29年度分） '!B6</f>
        <v>7460</v>
      </c>
      <c r="E6" s="115">
        <f>'必要経費概算（平成30年度分）'!B6</f>
        <v>9962</v>
      </c>
      <c r="F6" s="68">
        <f>'必要経費概算（平成31年度分）'!B6</f>
        <v>9963</v>
      </c>
      <c r="G6" s="69">
        <f t="shared" si="0"/>
        <v>27385</v>
      </c>
      <c r="H6" s="70">
        <f>G6/G14</f>
        <v>0.1919733613739923</v>
      </c>
      <c r="I6" s="179" t="s">
        <v>329</v>
      </c>
      <c r="J6" s="180"/>
      <c r="K6" s="180"/>
      <c r="L6" s="180"/>
    </row>
    <row r="7" spans="1:8" ht="29.25" customHeight="1">
      <c r="A7" s="183"/>
      <c r="B7" s="192" t="s">
        <v>56</v>
      </c>
      <c r="C7" s="193"/>
      <c r="D7" s="116">
        <f>'必要経費概算（平成29年度分） '!B39</f>
        <v>4169</v>
      </c>
      <c r="E7" s="71">
        <f>'必要経費概算（平成30年度分）'!B36</f>
        <v>2429</v>
      </c>
      <c r="F7" s="72">
        <f>'必要経費概算（平成31年度分）'!B36</f>
        <v>2429</v>
      </c>
      <c r="G7" s="73">
        <f t="shared" si="0"/>
        <v>9027</v>
      </c>
      <c r="H7" s="74"/>
    </row>
    <row r="8" spans="1:9" ht="29.25" customHeight="1">
      <c r="A8" s="183"/>
      <c r="B8" s="124" t="s">
        <v>16</v>
      </c>
      <c r="C8" s="75"/>
      <c r="D8" s="117">
        <f>SUM(D9:D12)</f>
        <v>30702</v>
      </c>
      <c r="E8" s="76">
        <f>SUM(E9:E12)</f>
        <v>37858</v>
      </c>
      <c r="F8" s="77">
        <f>SUM(F9:F12)</f>
        <v>37678</v>
      </c>
      <c r="G8" s="78">
        <f t="shared" si="0"/>
        <v>106238</v>
      </c>
      <c r="H8" s="79"/>
      <c r="I8" s="131"/>
    </row>
    <row r="9" spans="1:8" ht="29.25" customHeight="1">
      <c r="A9" s="183"/>
      <c r="B9" s="125" t="s">
        <v>57</v>
      </c>
      <c r="C9" s="80"/>
      <c r="D9" s="115">
        <f>'必要経費概算（平成29年度分） '!B61</f>
        <v>3882</v>
      </c>
      <c r="E9" s="67">
        <f>'必要経費概算（平成30年度分）'!B57</f>
        <v>5512</v>
      </c>
      <c r="F9" s="68">
        <f>'必要経費概算（平成31年度分）'!B57</f>
        <v>5512</v>
      </c>
      <c r="G9" s="69">
        <f t="shared" si="0"/>
        <v>14906</v>
      </c>
      <c r="H9" s="81"/>
    </row>
    <row r="10" spans="1:8" ht="29.25" customHeight="1">
      <c r="A10" s="183"/>
      <c r="B10" s="126" t="s">
        <v>58</v>
      </c>
      <c r="C10" s="82"/>
      <c r="D10" s="118">
        <f>'必要経費概算（平成29年度分） '!B92</f>
        <v>7854</v>
      </c>
      <c r="E10" s="83">
        <f>'必要経費概算（平成30年度分）'!B88</f>
        <v>7942</v>
      </c>
      <c r="F10" s="84">
        <f>'必要経費概算（平成31年度分）'!B88</f>
        <v>8242</v>
      </c>
      <c r="G10" s="85">
        <f t="shared" si="0"/>
        <v>24038</v>
      </c>
      <c r="H10" s="86"/>
    </row>
    <row r="11" spans="1:9" ht="29.25" customHeight="1">
      <c r="A11" s="184"/>
      <c r="B11" s="127" t="s">
        <v>59</v>
      </c>
      <c r="C11" s="87"/>
      <c r="D11" s="116">
        <f>'必要経費概算（平成29年度分） '!B117</f>
        <v>1043</v>
      </c>
      <c r="E11" s="71">
        <f>'必要経費概算（平成30年度分）'!B113</f>
        <v>1039</v>
      </c>
      <c r="F11" s="72">
        <f>'必要経費概算（平成31年度分）'!B113</f>
        <v>1039</v>
      </c>
      <c r="G11" s="73">
        <f>SUM(D11:F11)</f>
        <v>3121</v>
      </c>
      <c r="H11" s="88">
        <f>G11/(G8-G12)</f>
        <v>0.07419469868061333</v>
      </c>
      <c r="I11" s="66" t="s">
        <v>330</v>
      </c>
    </row>
    <row r="12" spans="1:9" ht="29.25" customHeight="1">
      <c r="A12" s="185" t="s">
        <v>163</v>
      </c>
      <c r="B12" s="127" t="s">
        <v>160</v>
      </c>
      <c r="C12" s="87"/>
      <c r="D12" s="116">
        <f>'必要経費概算（平成29年度分） '!B128</f>
        <v>17923</v>
      </c>
      <c r="E12" s="71">
        <f>'必要経費概算（平成30年度分）'!B123</f>
        <v>23365</v>
      </c>
      <c r="F12" s="72">
        <f>'必要経費概算（平成31年度分）'!B123</f>
        <v>22885</v>
      </c>
      <c r="G12" s="73">
        <f t="shared" si="0"/>
        <v>64173</v>
      </c>
      <c r="H12" s="121"/>
      <c r="I12" s="66"/>
    </row>
    <row r="13" spans="1:9" ht="29.25" customHeight="1">
      <c r="A13" s="186"/>
      <c r="B13" s="128"/>
      <c r="C13" s="89" t="s">
        <v>161</v>
      </c>
      <c r="D13" s="114">
        <f>'必要経費概算（平成29年度分） '!B129</f>
        <v>9304</v>
      </c>
      <c r="E13" s="62">
        <f>'必要経費概算（平成30年度分）'!B124</f>
        <v>12401</v>
      </c>
      <c r="F13" s="90">
        <f>'必要経費概算（平成31年度分）'!B124</f>
        <v>12401</v>
      </c>
      <c r="G13" s="64">
        <f>SUM(D13:F13)</f>
        <v>34106</v>
      </c>
      <c r="H13" s="88">
        <f>G13/G12</f>
        <v>0.5314696211802471</v>
      </c>
      <c r="I13" s="122" t="s">
        <v>331</v>
      </c>
    </row>
    <row r="14" spans="1:8" ht="29.25" customHeight="1">
      <c r="A14" s="123"/>
      <c r="B14" s="128" t="s">
        <v>60</v>
      </c>
      <c r="C14" s="89"/>
      <c r="D14" s="114">
        <f>D5+D8</f>
        <v>42331</v>
      </c>
      <c r="E14" s="62">
        <f>E5+E8</f>
        <v>50249</v>
      </c>
      <c r="F14" s="90">
        <f>F5+F8</f>
        <v>50070</v>
      </c>
      <c r="G14" s="64">
        <f>G5+G8</f>
        <v>142650</v>
      </c>
      <c r="H14" s="91"/>
    </row>
    <row r="15" spans="1:8" ht="29.25" customHeight="1" thickBot="1">
      <c r="A15" s="123"/>
      <c r="B15" s="123" t="s">
        <v>31</v>
      </c>
      <c r="C15" s="92"/>
      <c r="D15" s="119">
        <f>ROUNDDOWN(D14*0.08,0)</f>
        <v>3386</v>
      </c>
      <c r="E15" s="93">
        <f>ROUNDDOWN(E14*0.08,0)</f>
        <v>4019</v>
      </c>
      <c r="F15" s="93">
        <f>ROUNDDOWN(F14*0.08,0)</f>
        <v>4005</v>
      </c>
      <c r="G15" s="94">
        <f>SUM(D15:F15)</f>
        <v>11410</v>
      </c>
      <c r="H15" s="95"/>
    </row>
    <row r="16" spans="1:8" ht="29.25" customHeight="1" thickBot="1">
      <c r="A16" s="123"/>
      <c r="B16" s="181" t="s">
        <v>61</v>
      </c>
      <c r="C16" s="181"/>
      <c r="D16" s="120">
        <f>D14+D15</f>
        <v>45717</v>
      </c>
      <c r="E16" s="96">
        <f>E14+E15</f>
        <v>54268</v>
      </c>
      <c r="F16" s="97">
        <f>F14+F15</f>
        <v>54075</v>
      </c>
      <c r="G16" s="98">
        <f>G14+G15</f>
        <v>154060</v>
      </c>
      <c r="H16" s="91"/>
    </row>
    <row r="17" spans="1:9" ht="29.25" customHeight="1">
      <c r="A17" s="129"/>
      <c r="B17" s="129"/>
      <c r="C17" s="129"/>
      <c r="D17" s="130">
        <f>(D9+D10+D11)/D14</f>
        <v>0.30188278094068177</v>
      </c>
      <c r="E17" s="130">
        <f>(E9+E10+E11)/E14</f>
        <v>0.288423650221895</v>
      </c>
      <c r="F17" s="130">
        <f>(F9+F10+F11)/F14</f>
        <v>0.29544637507489513</v>
      </c>
      <c r="G17" s="130">
        <f>(G9+G10+G11)/G14</f>
        <v>0.29488257974062393</v>
      </c>
      <c r="H17" s="66" t="s">
        <v>199</v>
      </c>
      <c r="I17" s="122"/>
    </row>
    <row r="18" ht="15"/>
    <row r="19" ht="15.75" thickBot="1"/>
    <row r="20" spans="3:7" s="149" customFormat="1" ht="12">
      <c r="C20" s="150" t="s">
        <v>338</v>
      </c>
      <c r="D20" s="151"/>
      <c r="E20" s="152" t="s">
        <v>339</v>
      </c>
      <c r="F20" s="151"/>
      <c r="G20" s="153" t="s">
        <v>336</v>
      </c>
    </row>
    <row r="21" spans="3:7" ht="29.25" customHeight="1" thickBot="1">
      <c r="C21" s="145">
        <f>G16*1000</f>
        <v>154060000</v>
      </c>
      <c r="D21" s="146" t="s">
        <v>335</v>
      </c>
      <c r="E21" s="147">
        <v>105</v>
      </c>
      <c r="F21" s="146" t="s">
        <v>334</v>
      </c>
      <c r="G21" s="148">
        <f>C21/E21</f>
        <v>1467238.0952380951</v>
      </c>
    </row>
    <row r="22" ht="13.5">
      <c r="C22" s="149" t="s">
        <v>337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" top="0.5" bottom="0.4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舞鶴市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舞鶴市</dc:creator>
  <cp:keywords/>
  <dc:description/>
  <cp:lastModifiedBy>厚生労働省ネットワークシステム</cp:lastModifiedBy>
  <cp:lastPrinted>2017-02-09T06:06:33Z</cp:lastPrinted>
  <dcterms:created xsi:type="dcterms:W3CDTF">2011-09-28T10:36:58Z</dcterms:created>
  <dcterms:modified xsi:type="dcterms:W3CDTF">2017-02-09T06:20:27Z</dcterms:modified>
  <cp:category/>
  <cp:version/>
  <cp:contentType/>
  <cp:contentStatus/>
</cp:coreProperties>
</file>